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ngenberger\Desktop\FDS\"/>
    </mc:Choice>
  </mc:AlternateContent>
  <xr:revisionPtr revIDLastSave="0" documentId="13_ncr:1_{D5828DDC-864F-410C-8819-11DE5C67A2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PCode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</calcChain>
</file>

<file path=xl/sharedStrings.xml><?xml version="1.0" encoding="utf-8"?>
<sst xmlns="http://schemas.openxmlformats.org/spreadsheetml/2006/main" count="2851" uniqueCount="2547">
  <si>
    <t>CIPFamily</t>
  </si>
  <si>
    <t>CIPCode</t>
  </si>
  <si>
    <t>CIPTitle</t>
  </si>
  <si>
    <t>AGRICULTURAL/ANIMAL/PLANT/VETERINARY SCIENCE AND RELATED FIELDS.</t>
  </si>
  <si>
    <t>Agriculture, General.</t>
  </si>
  <si>
    <t>Agricultural Business and Management.</t>
  </si>
  <si>
    <t>Agricultural Business and Management, General.</t>
  </si>
  <si>
    <t>Agribusiness/Agricultural Business Operations.</t>
  </si>
  <si>
    <t>Agricultural Economics.</t>
  </si>
  <si>
    <t>Farm/Farm and Ranch Management.</t>
  </si>
  <si>
    <t>Agricultural/Farm Supplies Retailing and Wholesaling.</t>
  </si>
  <si>
    <t>Agricultural Business Technology/Technician.</t>
  </si>
  <si>
    <t>Agricultural Business and Management, Other.</t>
  </si>
  <si>
    <t>Agricultural Mechanization.</t>
  </si>
  <si>
    <t>Agricultural Mechanization, General.</t>
  </si>
  <si>
    <t>Agricultural Power Machinery Operation.</t>
  </si>
  <si>
    <t>Agricultural Mechanics and Equipment/Machine Technology/Technician.</t>
  </si>
  <si>
    <t>Irrigation Management Technology/Technician.</t>
  </si>
  <si>
    <t>Agricultural Mechanization, Other.</t>
  </si>
  <si>
    <t>Agricultural Production Operations.</t>
  </si>
  <si>
    <t>Agricultural Production Operations, General.</t>
  </si>
  <si>
    <t>Animal/Livestock Husbandry and Production.</t>
  </si>
  <si>
    <t>Aquaculture.</t>
  </si>
  <si>
    <t>Crop Production.</t>
  </si>
  <si>
    <t>Dairy Husbandry and Production.</t>
  </si>
  <si>
    <t>Horse Husbandry/Equine Science and Management.</t>
  </si>
  <si>
    <t>Agroecology and Sustainable Agriculture.</t>
  </si>
  <si>
    <t>Viticulture and Enology.</t>
  </si>
  <si>
    <t>Apiculture.</t>
  </si>
  <si>
    <t>Agricultural Production Operations, Other.</t>
  </si>
  <si>
    <t>Agricultural and Food Products Processing.</t>
  </si>
  <si>
    <t>Reserved.</t>
  </si>
  <si>
    <t>Agricultural and Domestic Animal Services.</t>
  </si>
  <si>
    <t>Dog/Pet/Animal Grooming.</t>
  </si>
  <si>
    <t>Animal Training.</t>
  </si>
  <si>
    <t>Equestrian/Equine Studies.</t>
  </si>
  <si>
    <t>Taxidermy/Taxidermist.</t>
  </si>
  <si>
    <t>Farrier Science.</t>
  </si>
  <si>
    <t>Agricultural and Domestic Animal Services, Other.</t>
  </si>
  <si>
    <t>Applied Horticulture and Horticultural Business Services.</t>
  </si>
  <si>
    <t>Applied Horticulture/Horticulture Operations, General.</t>
  </si>
  <si>
    <t>Ornamental Horticulture.</t>
  </si>
  <si>
    <t>Greenhouse Operations and Management.</t>
  </si>
  <si>
    <t>Landscaping and Groundskeeping.</t>
  </si>
  <si>
    <t>Plant Nursery Operations and Management.</t>
  </si>
  <si>
    <t>Turf and Turfgrass Management.</t>
  </si>
  <si>
    <t>Floriculture/Floristry Operations and Management.</t>
  </si>
  <si>
    <t>Public Horticulture.</t>
  </si>
  <si>
    <t>Urban and Community Horticulture.</t>
  </si>
  <si>
    <t>Applied Horticulture/Horticultural Business Services, Other.</t>
  </si>
  <si>
    <t>International Agriculture.</t>
  </si>
  <si>
    <t>Agricultural Public Services.</t>
  </si>
  <si>
    <t>Agricultural and Extension Education Services.</t>
  </si>
  <si>
    <t>Agricultural Communication/Journalism.</t>
  </si>
  <si>
    <t>Agricultural Public Services, Other.</t>
  </si>
  <si>
    <t>Animal Sciences.</t>
  </si>
  <si>
    <t>Animal Sciences, General.</t>
  </si>
  <si>
    <t>Agricultural Animal Breeding.</t>
  </si>
  <si>
    <t>Animal Health.</t>
  </si>
  <si>
    <t>Animal Nutrition.</t>
  </si>
  <si>
    <t>Dairy Science.</t>
  </si>
  <si>
    <t>Livestock Management.</t>
  </si>
  <si>
    <t>Poultry Science.</t>
  </si>
  <si>
    <t>Animal Sciences, Other.</t>
  </si>
  <si>
    <t>Food Science and Technology.</t>
  </si>
  <si>
    <t>Food Science.</t>
  </si>
  <si>
    <t>Food Technology and Processing.</t>
  </si>
  <si>
    <t>Brewing Science.</t>
  </si>
  <si>
    <t>Zymology/Fermentation Science.</t>
  </si>
  <si>
    <t>Food Science and Technology, Other.</t>
  </si>
  <si>
    <t>Plant Sciences.</t>
  </si>
  <si>
    <t>Plant Sciences, General.</t>
  </si>
  <si>
    <t>Agronomy and Crop Science.</t>
  </si>
  <si>
    <t>Horticultural Science.</t>
  </si>
  <si>
    <t>Agricultural and Horticultural Plant Breeding.</t>
  </si>
  <si>
    <t>Plant Protection and Integrated Pest Management.</t>
  </si>
  <si>
    <t>Range Science and Management.</t>
  </si>
  <si>
    <t>Plant Sciences, Other.</t>
  </si>
  <si>
    <t>Soil Sciences.</t>
  </si>
  <si>
    <t>Soil Science and Agronomy, General.</t>
  </si>
  <si>
    <t>Soil Chemistry and Physics.</t>
  </si>
  <si>
    <t>Soil Microbiology.</t>
  </si>
  <si>
    <t>Soil Sciences, Other.</t>
  </si>
  <si>
    <t>Agriculture/Veterinary Preparatory Programs.</t>
  </si>
  <si>
    <t>Pre-Veterinary Studies.</t>
  </si>
  <si>
    <t>Agriculture/Veterinary Preparatory Programs, Other.</t>
  </si>
  <si>
    <t>Veterinary Medicine.</t>
  </si>
  <si>
    <t>Veterinary Biomedical and Clinical Sciences.</t>
  </si>
  <si>
    <t>Veterinary Sciences/Veterinary Clinical Sciences, General.</t>
  </si>
  <si>
    <t>Comparative and Laboratory Animal Medicine.</t>
  </si>
  <si>
    <t>Large Animal/Food Animal and Equine Surgery and Medicine.</t>
  </si>
  <si>
    <t>Small/Companion Animal Surgery and Medicine.</t>
  </si>
  <si>
    <t>Veterinary Anatomy.</t>
  </si>
  <si>
    <t>Veterinary Infectious Diseases.</t>
  </si>
  <si>
    <t>Veterinary Microbiology and Immunobiology.</t>
  </si>
  <si>
    <t>Veterinary Pathology and Pathobiology.</t>
  </si>
  <si>
    <t>Veterinary Physiology.</t>
  </si>
  <si>
    <t>Veterinary Preventive Medicine, Epidemiology, and Public Health.</t>
  </si>
  <si>
    <t>Veterinary Toxicology and Pharmacology.</t>
  </si>
  <si>
    <t>Veterinary Biomedical and Clinical Sciences, Other.</t>
  </si>
  <si>
    <t>Veterinary Administrative Services.</t>
  </si>
  <si>
    <t>Veterinary Administrative Services, General.</t>
  </si>
  <si>
    <t>Veterinary Office Management/Administration.</t>
  </si>
  <si>
    <t>Veterinary Reception/Receptionist.</t>
  </si>
  <si>
    <t>Veterinary Administrative/Executive Assistant and Veterinary Secretary.</t>
  </si>
  <si>
    <t>Veterinary Administrative Services, Other.</t>
  </si>
  <si>
    <t>Veterinary/Animal Health Technologies/Technicians.</t>
  </si>
  <si>
    <t>Veterinary/Animal Health Technology/Technician and Veterinary Assistant.</t>
  </si>
  <si>
    <t>Veterinary/Animal Health Technologies/Technicians, Other.</t>
  </si>
  <si>
    <t>Agricultural/Animal/Plant/Veterinary Science and Related Fields, Other.</t>
  </si>
  <si>
    <t>NATURAL RESOURCES AND CONSERVATION.</t>
  </si>
  <si>
    <t>Natural Resources Conservation and Research.</t>
  </si>
  <si>
    <t>Natural Resources/Conservation, General.</t>
  </si>
  <si>
    <t>Environmental Studies.</t>
  </si>
  <si>
    <t>Environmental Science.</t>
  </si>
  <si>
    <t>Natural Resources Conservation and Research, Other.</t>
  </si>
  <si>
    <t>Environmental/Natural Resources Management and Policy.</t>
  </si>
  <si>
    <t>Environmental/Natural Resources Management and Policy, General.</t>
  </si>
  <si>
    <t>Environmental/Natural Resource Economics.</t>
  </si>
  <si>
    <t>Water, Wetlands, and Marine Resources Management.</t>
  </si>
  <si>
    <t>Land Use Planning and Management/Development.</t>
  </si>
  <si>
    <t>Environmental/Natural Resource Recreation and Tourism.</t>
  </si>
  <si>
    <t>Environmental/Natural Resources Law Enforcement and Protective Services.</t>
  </si>
  <si>
    <t>Energy and Environmental Policy.</t>
  </si>
  <si>
    <t>Bioenergy.</t>
  </si>
  <si>
    <t>Environmental/Natural Resources Management and Policy, Other.</t>
  </si>
  <si>
    <t>Fishing and Fisheries Sciences and Management.</t>
  </si>
  <si>
    <t>Forestry.</t>
  </si>
  <si>
    <t>Forestry, General.</t>
  </si>
  <si>
    <t>Forest Sciences and Biology.</t>
  </si>
  <si>
    <t>Forest Management/Forest Resources Management.</t>
  </si>
  <si>
    <t>Urban Forestry.</t>
  </si>
  <si>
    <t>Wood Science and Wood Products/Pulp and Paper Technology/Technician.</t>
  </si>
  <si>
    <t>Forest Resources Production and Management.</t>
  </si>
  <si>
    <t>Forest Technology/Technician.</t>
  </si>
  <si>
    <t>Forestry, Other.</t>
  </si>
  <si>
    <t>Wildlife and Wildlands Science and Management.</t>
  </si>
  <si>
    <t>Wildlife, Fish and Wildlands Science and Management.</t>
  </si>
  <si>
    <t>Natural Resources and Conservation, Other.</t>
  </si>
  <si>
    <t>ARCHITECTURE AND RELATED SERVICES.</t>
  </si>
  <si>
    <t>Architecture.</t>
  </si>
  <si>
    <t>Pre-Architecture Studies.</t>
  </si>
  <si>
    <t>Architectural Design.</t>
  </si>
  <si>
    <t>Architecture, Other.</t>
  </si>
  <si>
    <t>City/Urban, Community, and Regional Planning.</t>
  </si>
  <si>
    <t>Environmental Design.</t>
  </si>
  <si>
    <t>Environmental Design/Architecture.</t>
  </si>
  <si>
    <t>Healthcare Environment Design/Architecture.</t>
  </si>
  <si>
    <t>Sustainable Design/Architecture.</t>
  </si>
  <si>
    <t>Environmental Design, Other.</t>
  </si>
  <si>
    <t>Interior Architecture.</t>
  </si>
  <si>
    <t>Landscape Architecture.</t>
  </si>
  <si>
    <t>Architectural History, Criticism, and Conservation.</t>
  </si>
  <si>
    <t>Architectural History and Criticism, General.</t>
  </si>
  <si>
    <t>Architectural Conservation.</t>
  </si>
  <si>
    <t>Architectural Studies.</t>
  </si>
  <si>
    <t>Architectural History, Criticism, and Conservation, Other.</t>
  </si>
  <si>
    <t>Architectural Sciences and Technology.</t>
  </si>
  <si>
    <t>Architectural Technology/Technician.</t>
  </si>
  <si>
    <t>Architectural and Building Sciences/Technology.</t>
  </si>
  <si>
    <t>Architectural Sciences and Technology, Other.</t>
  </si>
  <si>
    <t>Real Estate Development.</t>
  </si>
  <si>
    <t>Architecture and Related Services, Other.</t>
  </si>
  <si>
    <t>AREA, ETHNIC, CULTURAL, GENDER, AND GROUP STUDIES.</t>
  </si>
  <si>
    <t>Area Studies.</t>
  </si>
  <si>
    <t>African Studies.</t>
  </si>
  <si>
    <t>American/United States Studies/Civilization.</t>
  </si>
  <si>
    <t>Asian Studies/Civilization.</t>
  </si>
  <si>
    <t>East Asian Studies.</t>
  </si>
  <si>
    <t>Russian, Central European, East European and Eurasian Studies.</t>
  </si>
  <si>
    <t>European Studies/Civilization.</t>
  </si>
  <si>
    <t>Latin American Studies.</t>
  </si>
  <si>
    <t>Near and Middle Eastern Studies.</t>
  </si>
  <si>
    <t>Pacific Area/Pacific Rim Studies.</t>
  </si>
  <si>
    <t>Russian Studies.</t>
  </si>
  <si>
    <t>Scandinavian Studies.</t>
  </si>
  <si>
    <t>South Asian Studies.</t>
  </si>
  <si>
    <t>Southeast Asian Studies.</t>
  </si>
  <si>
    <t>Western European Studies.</t>
  </si>
  <si>
    <t>Canadian Studies.</t>
  </si>
  <si>
    <t>Balkans Studies.</t>
  </si>
  <si>
    <t>Baltic Studies.</t>
  </si>
  <si>
    <t>Slavic Studies.</t>
  </si>
  <si>
    <t>Caribbean Studies.</t>
  </si>
  <si>
    <t>Ural-Altaic and Central Asian Studies.</t>
  </si>
  <si>
    <t>Commonwealth Studies.</t>
  </si>
  <si>
    <t>Regional Studies (U.S., Canadian, Foreign).</t>
  </si>
  <si>
    <t>Chinese Studies.</t>
  </si>
  <si>
    <t>French Studies.</t>
  </si>
  <si>
    <t>German Studies.</t>
  </si>
  <si>
    <t>Italian Studies.</t>
  </si>
  <si>
    <t>Japanese Studies.</t>
  </si>
  <si>
    <t>Korean Studies.</t>
  </si>
  <si>
    <t>Polish Studies.</t>
  </si>
  <si>
    <t>Spanish and Iberian Studies.</t>
  </si>
  <si>
    <t>Tibetan Studies.</t>
  </si>
  <si>
    <t>Ukraine Studies.</t>
  </si>
  <si>
    <t>Irish Studies.</t>
  </si>
  <si>
    <t>Latin American and Caribbean Studies.</t>
  </si>
  <si>
    <t>Appalachian Studies.</t>
  </si>
  <si>
    <t>Arctic Studies.</t>
  </si>
  <si>
    <t>Area Studies, Other.</t>
  </si>
  <si>
    <t>Ethnic, Cultural Minority, Gender, and Group Studies.</t>
  </si>
  <si>
    <t>Ethnic Studies.</t>
  </si>
  <si>
    <t>African-American/Black Studies.</t>
  </si>
  <si>
    <t>American Indian/Native American Studies.</t>
  </si>
  <si>
    <t>Hispanic-American, Puerto Rican, and Mexican-American/Chicano Studies.</t>
  </si>
  <si>
    <t>Asian-American Studies.</t>
  </si>
  <si>
    <t>Women's Studies.</t>
  </si>
  <si>
    <t>Gay/Lesbian Studies.</t>
  </si>
  <si>
    <t>Folklore Studies.</t>
  </si>
  <si>
    <t>Disability Studies.</t>
  </si>
  <si>
    <t>Deaf Studies.</t>
  </si>
  <si>
    <t>Comparative Group Studies.</t>
  </si>
  <si>
    <t>Ethnic, Cultural Minority, Gender, and Group Studies, Other.</t>
  </si>
  <si>
    <t>Area, Ethnic, Cultural, Gender, and Group Studies, Other.</t>
  </si>
  <si>
    <t>COMMUNICATION, JOURNALISM, AND RELATED PROGRAMS.</t>
  </si>
  <si>
    <t>Communication and Media Studies.</t>
  </si>
  <si>
    <t>Communication, General.</t>
  </si>
  <si>
    <t>Speech Communication and Rhetoric.</t>
  </si>
  <si>
    <t>Mass Communication/Media Studies.</t>
  </si>
  <si>
    <t>Communication and Media Studies, Other.</t>
  </si>
  <si>
    <t>Journalism.</t>
  </si>
  <si>
    <t>Broadcast Journalism.</t>
  </si>
  <si>
    <t>Photojournalism.</t>
  </si>
  <si>
    <t>Business and Economic Journalism.</t>
  </si>
  <si>
    <t>Cultural Journalism.</t>
  </si>
  <si>
    <t>Science/Health/Environmental Journalism.</t>
  </si>
  <si>
    <t>Journalism, Other.</t>
  </si>
  <si>
    <t>Radio, Television, and Digital Communication.</t>
  </si>
  <si>
    <t>Radio and Television.</t>
  </si>
  <si>
    <t>Digital Communication and Media/Multimedia.</t>
  </si>
  <si>
    <t>Radio, Television, and Digital Communication, Other.</t>
  </si>
  <si>
    <t>Public Relations, Advertising, and Applied Communication.</t>
  </si>
  <si>
    <t>Organizational Communication, General.</t>
  </si>
  <si>
    <t>Public Relations/Image Management.</t>
  </si>
  <si>
    <t>Advertising.</t>
  </si>
  <si>
    <t>Political Communication.</t>
  </si>
  <si>
    <t>Health Communication.</t>
  </si>
  <si>
    <t>Sports Communication.</t>
  </si>
  <si>
    <t>International and Intercultural Communication.</t>
  </si>
  <si>
    <t>Technical and Scientific Communication.</t>
  </si>
  <si>
    <t>Communication Management and Strategic Communications.</t>
  </si>
  <si>
    <t>Public Relations, Advertising, and Applied Communication, Other.</t>
  </si>
  <si>
    <t>Publishing.</t>
  </si>
  <si>
    <t>Communication, Journalism, and Related Programs, Other.</t>
  </si>
  <si>
    <t>COMMUNICATIONS TECHNOLOGIES/TECHNICIANS AND SUPPORT SERVICES.</t>
  </si>
  <si>
    <t>Communications Technologies/Technicians.</t>
  </si>
  <si>
    <t>Communications Technology/Technician.</t>
  </si>
  <si>
    <t>Audiovisual Communications Technologies/Technicians.</t>
  </si>
  <si>
    <t>Photographic and Film/Video Technology/Technician.</t>
  </si>
  <si>
    <t>Radio and Television Broadcasting Technology/Technician.</t>
  </si>
  <si>
    <t>Recording Arts Technology/Technician.</t>
  </si>
  <si>
    <t>Voice Writing Technology/Technician.</t>
  </si>
  <si>
    <t>Audiovisual Communications Technologies/Technicians, Other.</t>
  </si>
  <si>
    <t>Graphic Communications.</t>
  </si>
  <si>
    <t>Graphic Communications, General.</t>
  </si>
  <si>
    <t>Printing Management.</t>
  </si>
  <si>
    <t>Prepress/Desktop Publishing and Digital Imaging Design.</t>
  </si>
  <si>
    <t>Animation, Interactive Technology, Video Graphics, and Special Effects.</t>
  </si>
  <si>
    <t>Graphic and Printing Equipment Operator, General Production.</t>
  </si>
  <si>
    <t>Platemaker/Imager.</t>
  </si>
  <si>
    <t>Printing Press Operator.</t>
  </si>
  <si>
    <t>Computer Typography and Composition Equipment Operator.</t>
  </si>
  <si>
    <t>Graphic Communications, Other.</t>
  </si>
  <si>
    <t>Communications Technologies/Technicians and Support Services, Other.</t>
  </si>
  <si>
    <t>COMPUTER AND INFORMATION SCIENCES AND SUPPORT SERVICES.</t>
  </si>
  <si>
    <t>Computer and Information Sciences, General.</t>
  </si>
  <si>
    <t>Artificial Intelligence.</t>
  </si>
  <si>
    <t>Information Technology.</t>
  </si>
  <si>
    <t>Informatics.</t>
  </si>
  <si>
    <t>Human-Centered Technology Design.</t>
  </si>
  <si>
    <t>Computer and Information Sciences,  Other.</t>
  </si>
  <si>
    <t>Computer Programming.</t>
  </si>
  <si>
    <t>Computer Programming/Programmer, General.</t>
  </si>
  <si>
    <t>Computer Programming, Specific Applications.</t>
  </si>
  <si>
    <t>Computer Programming, Vendor/Product Certification.</t>
  </si>
  <si>
    <t>Computer Game Programming.</t>
  </si>
  <si>
    <t>Computer Programming, Specific Platforms.</t>
  </si>
  <si>
    <t>Computer Programming, Other.</t>
  </si>
  <si>
    <t>Data Processing.</t>
  </si>
  <si>
    <t>Data Processing and Data Processing Technology/Technician.</t>
  </si>
  <si>
    <t>Information Science/Studies.</t>
  </si>
  <si>
    <t>Computer Systems Analysis.</t>
  </si>
  <si>
    <t>Computer Systems Analysis/Analyst.</t>
  </si>
  <si>
    <t>Data Entry/Microcomputer Applications.</t>
  </si>
  <si>
    <t>Data Entry/Microcomputer Applications, General.</t>
  </si>
  <si>
    <t>Word Processing.</t>
  </si>
  <si>
    <t>Data Entry/Microcomputer Applications, Other.</t>
  </si>
  <si>
    <t>Computer Science.</t>
  </si>
  <si>
    <t>Computer Software and Media Applications.</t>
  </si>
  <si>
    <t>Web Page, Digital/Multimedia and Information Resources Design.</t>
  </si>
  <si>
    <t>Data Modeling/Warehousing and Database Administration.</t>
  </si>
  <si>
    <t>Computer Graphics.</t>
  </si>
  <si>
    <t>Modeling, Virtual Environments and Simulation.</t>
  </si>
  <si>
    <t>Computer Software and Media Applications, Other.</t>
  </si>
  <si>
    <t>Computer Systems Networking and Telecommunications.</t>
  </si>
  <si>
    <t>Cloud Computing.</t>
  </si>
  <si>
    <t>Computer Systems Networking and Telecommunications, Other.</t>
  </si>
  <si>
    <t>Computer/Information Technology Administration and Management.</t>
  </si>
  <si>
    <t>Network and System Administration/Administrator.</t>
  </si>
  <si>
    <t>System, Networking, and LAN/WAN Management/Manager.</t>
  </si>
  <si>
    <t>Computer and Information Systems Security/Auditing/Information Assurance.</t>
  </si>
  <si>
    <t>Web/Multimedia Management and Webmaster.</t>
  </si>
  <si>
    <t>Information Technology Project Management.</t>
  </si>
  <si>
    <t>Computer Support Specialist.</t>
  </si>
  <si>
    <t>Computer/Information Technology Services Administration and Management, Other.</t>
  </si>
  <si>
    <t>Computer and Information Sciences and Support Services, Other.</t>
  </si>
  <si>
    <t>CULINARY, ENTERTAINMENT, AND PERSONAL SERVICES.</t>
  </si>
  <si>
    <t>Funeral Service and Mortuary Science.</t>
  </si>
  <si>
    <t>Funeral Service and Mortuary Science, General.</t>
  </si>
  <si>
    <t>Funeral Direction/Service.</t>
  </si>
  <si>
    <t>Mortuary Science and Embalming/Embalmer.</t>
  </si>
  <si>
    <t>Funeral Service and Mortuary Science, Other.</t>
  </si>
  <si>
    <t>Cosmetology and Related Personal Grooming Services.</t>
  </si>
  <si>
    <t>Cosmetology/Cosmetologist, General.</t>
  </si>
  <si>
    <t>Barbering/Barber.</t>
  </si>
  <si>
    <t>Electrolysis/Electrology and Electrolysis Technician.</t>
  </si>
  <si>
    <t>Make-Up Artist/Specialist.</t>
  </si>
  <si>
    <t>Hair Styling/Stylist and Hair Design.</t>
  </si>
  <si>
    <t>Facial Treatment Specialist/Facialist.</t>
  </si>
  <si>
    <t>Aesthetician/Esthetician and Skin Care Specialist.</t>
  </si>
  <si>
    <t>Nail Technician/Specialist and Manicurist.</t>
  </si>
  <si>
    <t>Permanent Cosmetics/Makeup and Tattooing.</t>
  </si>
  <si>
    <t>Salon/Beauty Salon Management/Manager.</t>
  </si>
  <si>
    <t>Cosmetology, Barber/Styling, and Nail Instructor.</t>
  </si>
  <si>
    <t>Master Aesthetician/Esthetician.</t>
  </si>
  <si>
    <t>Cosmetology and Related Personal Grooming Arts, Other.</t>
  </si>
  <si>
    <t>Culinary Arts and Related Services.</t>
  </si>
  <si>
    <t>Cooking and Related Culinary Arts, General.</t>
  </si>
  <si>
    <t>Baking and Pastry Arts/Baker/Pastry Chef.</t>
  </si>
  <si>
    <t>Bartending/Bartender.</t>
  </si>
  <si>
    <t>Culinary Arts/Chef Training.</t>
  </si>
  <si>
    <t>Restaurant, Culinary, and Catering Management/Manager.</t>
  </si>
  <si>
    <t>Food Preparation/Professional Cooking/Kitchen Assistant.</t>
  </si>
  <si>
    <t>Meat Cutting/Meat Cutter.</t>
  </si>
  <si>
    <t>Food Service, Waiter/Waitress, and Dining Room Management/Manager.</t>
  </si>
  <si>
    <t>Institutional Food Workers.</t>
  </si>
  <si>
    <t>Culinary Science/Culinology.</t>
  </si>
  <si>
    <t>Wine Steward/Sommelier.</t>
  </si>
  <si>
    <t>Culinary Arts and Related Services, Other.</t>
  </si>
  <si>
    <t>Casino Operations and Services.</t>
  </si>
  <si>
    <t>Casino Operations and Services, General.</t>
  </si>
  <si>
    <t>Casino Dealing.</t>
  </si>
  <si>
    <t>Casino Operations and Services, Other.</t>
  </si>
  <si>
    <t>Culinary, Entertainment, and Personal Services, Other.</t>
  </si>
  <si>
    <t>EDUCATION.</t>
  </si>
  <si>
    <t>Education, General.</t>
  </si>
  <si>
    <t>Bilingual, Multilingual, and Multicultural Education.</t>
  </si>
  <si>
    <t>Bilingual and Multilingual Education.</t>
  </si>
  <si>
    <t>Multicultural Education.</t>
  </si>
  <si>
    <t>Indian/Native American Education.</t>
  </si>
  <si>
    <t>Bilingual, Multilingual, and Multicultural Education, Other.</t>
  </si>
  <si>
    <t>Curriculum and Instruction.</t>
  </si>
  <si>
    <t>Educational Administration and Supervision.</t>
  </si>
  <si>
    <t>Educational Leadership and Administration, General.</t>
  </si>
  <si>
    <t>Administration of Special Education.</t>
  </si>
  <si>
    <t>Adult and Continuing Education Administration.</t>
  </si>
  <si>
    <t>Educational, Instructional, and Curriculum Supervision.</t>
  </si>
  <si>
    <t>Higher Education/Higher Education Administration.</t>
  </si>
  <si>
    <t>Community College Administration.</t>
  </si>
  <si>
    <t>Elementary and Middle School Administration/Principalship.</t>
  </si>
  <si>
    <t>Secondary School Administration/Principalship.</t>
  </si>
  <si>
    <t>Urban Education and Leadership.</t>
  </si>
  <si>
    <t>Superintendency and Educational System Administration.</t>
  </si>
  <si>
    <t>International School Administration/Leadership.</t>
  </si>
  <si>
    <t>Education Entrepreneurship.</t>
  </si>
  <si>
    <t>Early Childhood Program Administration.</t>
  </si>
  <si>
    <t>Educational Administration and Supervision, Other.</t>
  </si>
  <si>
    <t>Educational/Instructional Media Design.</t>
  </si>
  <si>
    <t>Educational/Instructional Technology.</t>
  </si>
  <si>
    <t>Educational Assessment, Evaluation, and Research.</t>
  </si>
  <si>
    <t>Educational Evaluation and Research.</t>
  </si>
  <si>
    <t>Educational Statistics and Research Methods.</t>
  </si>
  <si>
    <t>Educational Assessment, Testing, and Measurement.</t>
  </si>
  <si>
    <t>Learning Sciences.</t>
  </si>
  <si>
    <t>Institutional Research.</t>
  </si>
  <si>
    <t>Educational Assessment, Evaluation, and Research, Other.</t>
  </si>
  <si>
    <t>International and Comparative Education.</t>
  </si>
  <si>
    <t>Social and Philosophical Foundations of Education.</t>
  </si>
  <si>
    <t>Special Education and Teaching.</t>
  </si>
  <si>
    <t>Special Education and Teaching, General.</t>
  </si>
  <si>
    <t>Education/Teaching of Individuals with Hearing Impairments Including Deafness.</t>
  </si>
  <si>
    <t>Education/Teaching of the Gifted and Talented.</t>
  </si>
  <si>
    <t>Education/Teaching of Individuals with Emotional Disturbances.</t>
  </si>
  <si>
    <t>Education/Teaching of Individuals with Intellectual Disabilities.</t>
  </si>
  <si>
    <t>Education/Teaching of Individuals with Multiple Disabilities.</t>
  </si>
  <si>
    <t>Education/Teaching of Individuals with Orthopedic and Other Physical Health Impairments.</t>
  </si>
  <si>
    <t>Education/Teaching of Individuals with Vision Impairments Including Blindness.</t>
  </si>
  <si>
    <t>Education/Teaching of Individuals with Specific Learning Disabilities.</t>
  </si>
  <si>
    <t>Education/Teaching of Individuals with Speech or Language Impairments.</t>
  </si>
  <si>
    <t>Education/Teaching of Individuals with Autism.</t>
  </si>
  <si>
    <t>Education/Teaching of Individuals Who are Developmentally Delayed.</t>
  </si>
  <si>
    <t>Education/Teaching of Individuals in Early Childhood Special Education Programs.</t>
  </si>
  <si>
    <t>Education/Teaching of Individuals with Traumatic Brain Injuries.</t>
  </si>
  <si>
    <t>Education/Teaching of Individuals in Elementary Special Education Programs.</t>
  </si>
  <si>
    <t>Education/Teaching of Individuals in Junior High/Middle School Special Education Programs.</t>
  </si>
  <si>
    <t>Education/Teaching of Individuals in Secondary Special Education Programs.</t>
  </si>
  <si>
    <t>Special Education and Teaching, Other.</t>
  </si>
  <si>
    <t>Student Counseling and Personnel Services.</t>
  </si>
  <si>
    <t>Counselor Education/School Counseling and Guidance Services.</t>
  </si>
  <si>
    <t>College Student Counseling and Personnel Services.</t>
  </si>
  <si>
    <t>Student Counseling and Personnel Services, Other.</t>
  </si>
  <si>
    <t>Teacher Education and Professional Development, Specific Levels and Methods.</t>
  </si>
  <si>
    <t>Adult and Continuing Education and Teaching.</t>
  </si>
  <si>
    <t>Elementary Education and Teaching.</t>
  </si>
  <si>
    <t>Junior High/Intermediate/Middle School Education and Teaching.</t>
  </si>
  <si>
    <t>Secondary Education and Teaching.</t>
  </si>
  <si>
    <t>Teacher Education, Multiple Levels.</t>
  </si>
  <si>
    <t>Montessori Teacher Education.</t>
  </si>
  <si>
    <t>Waldorf/Steiner Teacher Education.</t>
  </si>
  <si>
    <t>Kindergarten/Preschool Education and Teaching.</t>
  </si>
  <si>
    <t>Early Childhood Education and Teaching.</t>
  </si>
  <si>
    <t>Online Educator/Online Teaching.</t>
  </si>
  <si>
    <t>International Teaching and Learning.</t>
  </si>
  <si>
    <t>Science, Technology, Engineering, and Mathematics (STEM) Educational Methods.</t>
  </si>
  <si>
    <t>College/Postsecondary/University Teaching.</t>
  </si>
  <si>
    <t>Teacher Education and Professional Development, Specific Levels and Methods, Other.</t>
  </si>
  <si>
    <t>Teacher Education and Professional Development, Specific Subject Areas.</t>
  </si>
  <si>
    <t>Agricultural Teacher Education.</t>
  </si>
  <si>
    <t>Art Teacher Education.</t>
  </si>
  <si>
    <t>Business and Innovation/Entrepreneurship Teacher Education.</t>
  </si>
  <si>
    <t>Driver and Safety Teacher Education.</t>
  </si>
  <si>
    <t>English/Language Arts Teacher Education.</t>
  </si>
  <si>
    <t>Foreign Language Teacher  Education.</t>
  </si>
  <si>
    <t>Health Teacher Education.</t>
  </si>
  <si>
    <t>Family and Consumer Sciences/Home Economics Teacher Education.</t>
  </si>
  <si>
    <t>Technology Teacher Education/Industrial Arts Teacher Education.</t>
  </si>
  <si>
    <t>Sales and Marketing Operations/Marketing and Distribution   Teacher Education.</t>
  </si>
  <si>
    <t>Mathematics Teacher Education.</t>
  </si>
  <si>
    <t>Music Teacher Education.</t>
  </si>
  <si>
    <t>Physical Education Teaching and Coaching.</t>
  </si>
  <si>
    <t>Reading Teacher Education.</t>
  </si>
  <si>
    <t>Science Teacher Education/General Science Teacher Education.</t>
  </si>
  <si>
    <t>Social Science Teacher Education.</t>
  </si>
  <si>
    <t>Social Studies Teacher Education.</t>
  </si>
  <si>
    <t>Technical Teacher Education.</t>
  </si>
  <si>
    <t>Trade and Industrial Teacher Education.</t>
  </si>
  <si>
    <t>Computer Teacher Education.</t>
  </si>
  <si>
    <t>Biology Teacher Education.</t>
  </si>
  <si>
    <t>Chemistry Teacher Education.</t>
  </si>
  <si>
    <t>Drama and Dance Teacher Education.</t>
  </si>
  <si>
    <t>French Language Teacher Education.</t>
  </si>
  <si>
    <t>German Language Teacher Education.</t>
  </si>
  <si>
    <t>Health Occupations Teacher Education.</t>
  </si>
  <si>
    <t>History Teacher Education.</t>
  </si>
  <si>
    <t>Physics Teacher Education.</t>
  </si>
  <si>
    <t>Spanish Language Teacher Education.</t>
  </si>
  <si>
    <t>Speech Teacher Education.</t>
  </si>
  <si>
    <t>Geography Teacher Education.</t>
  </si>
  <si>
    <t>Latin Teacher Education.</t>
  </si>
  <si>
    <t>School Librarian/School Library Media Specialist.</t>
  </si>
  <si>
    <t>Psychology Teacher Education.</t>
  </si>
  <si>
    <t>Earth Science Teacher Education.</t>
  </si>
  <si>
    <t>Environmental Education.</t>
  </si>
  <si>
    <t>Communication Arts and Literature Teacher Education.</t>
  </si>
  <si>
    <t>Teacher Education and Professional Development, Specific Subject Areas, Other.</t>
  </si>
  <si>
    <t>Teaching English or French as a Second or Foreign Language.</t>
  </si>
  <si>
    <t>Teaching English as a Second or Foreign Language/ESL Language Instructor.</t>
  </si>
  <si>
    <t>Teaching French as a Second or Foreign Language.</t>
  </si>
  <si>
    <t>Teaching English or French as a Second or Foreign Language, Other.</t>
  </si>
  <si>
    <t>Teaching Assistants/Aides.</t>
  </si>
  <si>
    <t>Teacher Assistant/Aide.</t>
  </si>
  <si>
    <t>Adult Literacy Tutor/Instructor.</t>
  </si>
  <si>
    <t>Teaching Assistants/Aides, Other.</t>
  </si>
  <si>
    <t>Education, Other.</t>
  </si>
  <si>
    <t>ENGINEERING.</t>
  </si>
  <si>
    <t>Engineering, General.</t>
  </si>
  <si>
    <t>Pre-Engineering.</t>
  </si>
  <si>
    <t>Applied Engineering.</t>
  </si>
  <si>
    <t>Aerospace, Aeronautical, and Astronautical/Space Engineering.</t>
  </si>
  <si>
    <t>Aerospace, Aeronautical, and Astronautical/Space Engineering, General.</t>
  </si>
  <si>
    <t>Astronautical Engineering.</t>
  </si>
  <si>
    <t>Aerospace, Aeronautical, and Astronautical/Space Engineering, Other.</t>
  </si>
  <si>
    <t>Agricultural Engineering.</t>
  </si>
  <si>
    <t>Architectural Engineering.</t>
  </si>
  <si>
    <t>Biomedical/Medical Engineering.</t>
  </si>
  <si>
    <t>Bioengineering and Biomedical Engineering.</t>
  </si>
  <si>
    <t>Ceramic Sciences and Engineering.</t>
  </si>
  <si>
    <t>Chemical Engineering.</t>
  </si>
  <si>
    <t>Chemical and Biomolecular Engineering.</t>
  </si>
  <si>
    <t>Chemical Engineering, Other.</t>
  </si>
  <si>
    <t>Civil Engineering.</t>
  </si>
  <si>
    <t>Civil Engineering, General.</t>
  </si>
  <si>
    <t>Geotechnical and Geoenvironmental Engineering.</t>
  </si>
  <si>
    <t>Structural Engineering.</t>
  </si>
  <si>
    <t>Transportation and Highway Engineering.</t>
  </si>
  <si>
    <t>Water Resources Engineering.</t>
  </si>
  <si>
    <t>Civil Engineering, Other.</t>
  </si>
  <si>
    <t>Computer Engineering.</t>
  </si>
  <si>
    <t>Computer Engineering, General.</t>
  </si>
  <si>
    <t>Computer Hardware Engineering.</t>
  </si>
  <si>
    <t>Computer Software Engineering.</t>
  </si>
  <si>
    <t>Computer Engineering, Other.</t>
  </si>
  <si>
    <t>Electrical, Electronics, and Communications Engineering.</t>
  </si>
  <si>
    <t>Electrical and Electronics Engineering.</t>
  </si>
  <si>
    <t>Laser and Optical Engineering.</t>
  </si>
  <si>
    <t>Telecommunications Engineering.</t>
  </si>
  <si>
    <t>Electrical, Electronics, and Communications Engineering, Other.</t>
  </si>
  <si>
    <t>Engineering Mechanics.</t>
  </si>
  <si>
    <t>Engineering Physics.</t>
  </si>
  <si>
    <t>Engineering Physics/Applied Physics.</t>
  </si>
  <si>
    <t>Engineering Science.</t>
  </si>
  <si>
    <t>Environmental/Environmental Health Engineering.</t>
  </si>
  <si>
    <t>Materials Engineering.</t>
  </si>
  <si>
    <t>Mechanical Engineering.</t>
  </si>
  <si>
    <t>Metallurgical Engineering.</t>
  </si>
  <si>
    <t>Mining and Mineral Engineering.</t>
  </si>
  <si>
    <t>Naval Architecture and Marine Engineering.</t>
  </si>
  <si>
    <t>Nuclear Engineering.</t>
  </si>
  <si>
    <t>Ocean Engineering.</t>
  </si>
  <si>
    <t>Petroleum Engineering.</t>
  </si>
  <si>
    <t>Systems Engineering.</t>
  </si>
  <si>
    <t>Textile Sciences and Engineering.</t>
  </si>
  <si>
    <t>Polymer/Plastics Engineering.</t>
  </si>
  <si>
    <t>Construction Engineering.</t>
  </si>
  <si>
    <t>Forest Engineering.</t>
  </si>
  <si>
    <t>Industrial Engineering.</t>
  </si>
  <si>
    <t>Manufacturing Engineering.</t>
  </si>
  <si>
    <t>Operations Research.</t>
  </si>
  <si>
    <t>Surveying Engineering.</t>
  </si>
  <si>
    <t>Geological/Geophysical Engineering.</t>
  </si>
  <si>
    <t>Paper Science and Engineering.</t>
  </si>
  <si>
    <t>Electromechanical Engineering.</t>
  </si>
  <si>
    <t>Mechatronics, Robotics, and Automation Engineering.</t>
  </si>
  <si>
    <t>Biochemical Engineering.</t>
  </si>
  <si>
    <t>Engineering Chemistry.</t>
  </si>
  <si>
    <t>Biological/Biosystems Engineering.</t>
  </si>
  <si>
    <t>Electrical and Computer Engineering.</t>
  </si>
  <si>
    <t>Energy Systems Engineering.</t>
  </si>
  <si>
    <t>Energy Systems Engineering, General.</t>
  </si>
  <si>
    <t>Power Plant Engineering.</t>
  </si>
  <si>
    <t>Energy Systems Engineering, Other.</t>
  </si>
  <si>
    <t>Engineering, Other.</t>
  </si>
  <si>
    <t>ENGINEERING/ENGINEERING-RELATED TECHNOLOGIES/TECHNICIANS.</t>
  </si>
  <si>
    <t>Engineering Technologies/Technicians, General.</t>
  </si>
  <si>
    <t>Applied Engineering Technologies/Technicians.</t>
  </si>
  <si>
    <t>Architectural Engineering Technologies/Technicians.</t>
  </si>
  <si>
    <t>Civil Engineering Technologies/Technicians.</t>
  </si>
  <si>
    <t>Electrical/Electronic Engineering Technologies/Technicians.</t>
  </si>
  <si>
    <t>Electrical, Electronic, and Communications Engineering Technology/Technician.</t>
  </si>
  <si>
    <t>Laser and Optical Technology/Technician.</t>
  </si>
  <si>
    <t>Telecommunications Technology/Technician.</t>
  </si>
  <si>
    <t>Integrated Circuit Design Technology/Technician.</t>
  </si>
  <si>
    <t>Audio Engineering Technology/Technician.</t>
  </si>
  <si>
    <t>Electrical/Electronic Engineering Technologies/Technicians, Other.</t>
  </si>
  <si>
    <t>Electromechanical Technologies/Technicians.</t>
  </si>
  <si>
    <t>Biomedical Technology/Technician.</t>
  </si>
  <si>
    <t>Electromechanical/Electromechanical Engineering Technology/Technician.</t>
  </si>
  <si>
    <t>Instrumentation Technology/Technician.</t>
  </si>
  <si>
    <t>Robotics Technology/Technician.</t>
  </si>
  <si>
    <t>Automation Engineer Technology/Technician.</t>
  </si>
  <si>
    <t>Mechatronics, Robotics, and Automation Engineering Technology/Technician.</t>
  </si>
  <si>
    <t>Electromechanical Technologies/Technicians, Other.</t>
  </si>
  <si>
    <t>Environmental Control Technologies/Technicians.</t>
  </si>
  <si>
    <t>Heating, Ventilation, Air Conditioning and Refrigeration Engineering Technology/Technician.</t>
  </si>
  <si>
    <t>Energy Management and Systems Technology/Technician.</t>
  </si>
  <si>
    <t>Solar Energy Technology/Technician.</t>
  </si>
  <si>
    <t>Water Quality and Wastewater Treatment Management and Recycling Technology/Technician.</t>
  </si>
  <si>
    <t>Environmental/Environmental Engineering Technology/Technician.</t>
  </si>
  <si>
    <t>Hazardous Materials Management and Waste Technology/Technician.</t>
  </si>
  <si>
    <t>Environmental Control Technologies/Technicians, Other.</t>
  </si>
  <si>
    <t>Industrial Production Technologies/Technicians.</t>
  </si>
  <si>
    <t>Plastics and Polymer Engineering Technology/Technician.</t>
  </si>
  <si>
    <t>Metallurgical Technology/Technician.</t>
  </si>
  <si>
    <t>Industrial Technology/Technician.</t>
  </si>
  <si>
    <t>Manufacturing Engineering Technology/Technician.</t>
  </si>
  <si>
    <t>Welding Engineering Technology/Technician.</t>
  </si>
  <si>
    <t>Chemical Engineering Technology/Technician.</t>
  </si>
  <si>
    <t>Semiconductor Manufacturing Technology/Technician.</t>
  </si>
  <si>
    <t>Composite Materials Technology/Technician.</t>
  </si>
  <si>
    <t>Industrial Production Technologies/Technicians, Other.</t>
  </si>
  <si>
    <t>Quality Control and Safety Technologies/Technicians.</t>
  </si>
  <si>
    <t>Occupational Safety and Health Technology/Technician.</t>
  </si>
  <si>
    <t>Quality Control Technology/Technician.</t>
  </si>
  <si>
    <t>Industrial Safety Technology/Technician.</t>
  </si>
  <si>
    <t>Hazardous Materials Information Systems Technology/Technician.</t>
  </si>
  <si>
    <t>Process Safety Technology/Technician.</t>
  </si>
  <si>
    <t>Quality Control and Safety Technologies/Technicians, Other.</t>
  </si>
  <si>
    <t>Mechanical Engineering Related Technologies/Technicians.</t>
  </si>
  <si>
    <t>Aeronautical/Aerospace Engineering Technology/Technician.</t>
  </si>
  <si>
    <t>Automotive Engineering Technology/Technician.</t>
  </si>
  <si>
    <t>Mechanical/Mechanical Engineering Technology/Technician.</t>
  </si>
  <si>
    <t>Marine Engineering Technology/Technician.</t>
  </si>
  <si>
    <t>Motorsports Engineering Technology/Technician.</t>
  </si>
  <si>
    <t>Mechanical Engineering Related Technologies/Technicians, Other.</t>
  </si>
  <si>
    <t>Mining and Petroleum Technologies/Technicians.</t>
  </si>
  <si>
    <t>Mining Technology/Technician.</t>
  </si>
  <si>
    <t>Petroleum Technology/Technician.</t>
  </si>
  <si>
    <t>Mining and Petroleum Technologies/Technicians, Other.</t>
  </si>
  <si>
    <t>Construction Engineering Technology/Technician.</t>
  </si>
  <si>
    <t>Engineering-Related Technologies/Technicians.</t>
  </si>
  <si>
    <t>Surveying Technology/Surveying.</t>
  </si>
  <si>
    <t>Hydraulics and Fluid Power Technology/Technician.</t>
  </si>
  <si>
    <t>Engineering-Related Technologies/Technicians, Other.</t>
  </si>
  <si>
    <t>Computer Engineering Technologies/Technicians.</t>
  </si>
  <si>
    <t>Computer Engineering Technology/Technician.</t>
  </si>
  <si>
    <t>Computer/Computer Systems Technology/Technician.</t>
  </si>
  <si>
    <t>Computer Hardware Technology/Technician.</t>
  </si>
  <si>
    <t>Computer Software Technology/Technician.</t>
  </si>
  <si>
    <t>Computer Engineering Technologies/Technicians, Other.</t>
  </si>
  <si>
    <t>Drafting/Design Engineering Technologies/Technicians.</t>
  </si>
  <si>
    <t>Drafting and Design Technology/Technician, General.</t>
  </si>
  <si>
    <t>CAD/CADD Drafting and/or Design Technology/Technician.</t>
  </si>
  <si>
    <t>Architectural Drafting and Architectural CAD/CADD.</t>
  </si>
  <si>
    <t>Civil Drafting and Civil Engineering CAD/CADD.</t>
  </si>
  <si>
    <t>Electrical/Electronics Drafting and Electrical/Electronics CAD/CADD.</t>
  </si>
  <si>
    <t>Mechanical Drafting and Mechanical Drafting CAD/CADD.</t>
  </si>
  <si>
    <t>3-D Modeling and Design Technology/Technician.</t>
  </si>
  <si>
    <t>Drafting/Design Engineering Technologies/Technicians, Other.</t>
  </si>
  <si>
    <t>Nuclear Engineering Technology/Technician.</t>
  </si>
  <si>
    <t>Engineering-Related Fields.</t>
  </si>
  <si>
    <t>Engineering/Industrial Management.</t>
  </si>
  <si>
    <t>Engineering Design.</t>
  </si>
  <si>
    <t>Packaging Science.</t>
  </si>
  <si>
    <t>Engineering-Related Fields, Other.</t>
  </si>
  <si>
    <t>Nanotechnology.</t>
  </si>
  <si>
    <t>Energy Systems Technologies/Technicians.</t>
  </si>
  <si>
    <t>Energy Systems Technology/Technician.</t>
  </si>
  <si>
    <t>Power Plant Technology/Technician.</t>
  </si>
  <si>
    <t>Wind Energy Technology/Technician.</t>
  </si>
  <si>
    <t>Hydroelectric Energy Technology/Technician.</t>
  </si>
  <si>
    <t>Geothermal Energy Technology/Technician.</t>
  </si>
  <si>
    <t>Energy Systems Technologies/Technicians, Other.</t>
  </si>
  <si>
    <t>Engineering/Engineering-Related Technologies/Technicians, Other.</t>
  </si>
  <si>
    <t>FOREIGN LANGUAGES, LITERATURES, AND LINGUISTICS.</t>
  </si>
  <si>
    <t>Linguistic, Comparative, and Related Language Studies and Services.</t>
  </si>
  <si>
    <t>Foreign Languages and Literatures, General.</t>
  </si>
  <si>
    <t>Linguistics.</t>
  </si>
  <si>
    <t>Language Interpretation and Translation.</t>
  </si>
  <si>
    <t>Comparative Literature.</t>
  </si>
  <si>
    <t>Applied Linguistics.</t>
  </si>
  <si>
    <t>Linguistic, Comparative, and Related Language Studies and Services, Other.</t>
  </si>
  <si>
    <t>African Languages, Literatures, and Linguistics.</t>
  </si>
  <si>
    <t>East Asian Languages, Literatures, and Linguistics.</t>
  </si>
  <si>
    <t>East Asian Languages, Literatures, and Linguistics, General.</t>
  </si>
  <si>
    <t>Chinese Language and Literature.</t>
  </si>
  <si>
    <t>Japanese Language and Literature.</t>
  </si>
  <si>
    <t>Korean Language and Literature.</t>
  </si>
  <si>
    <t>Tibetan Language and Literature.</t>
  </si>
  <si>
    <t>East Asian Languages, Literatures, and Linguistics, Other.</t>
  </si>
  <si>
    <t>Slavic, Baltic and Albanian Languages, Literatures, and Linguistics.</t>
  </si>
  <si>
    <t>Slavic Languages, Literatures, and Linguistics, General.</t>
  </si>
  <si>
    <t>Baltic Languages, Literatures, and Linguistics.</t>
  </si>
  <si>
    <t>Russian Language and Literature.</t>
  </si>
  <si>
    <t>Albanian Language and Literature.</t>
  </si>
  <si>
    <t>Bulgarian Language and Literature.</t>
  </si>
  <si>
    <t>Czech Language and Literature.</t>
  </si>
  <si>
    <t>Polish Language and Literature.</t>
  </si>
  <si>
    <t>Bosnian, Serbian, and Croatian Languages and Literatures.</t>
  </si>
  <si>
    <t>Slovak Language and Literature.</t>
  </si>
  <si>
    <t>Ukrainian Language and Literature.</t>
  </si>
  <si>
    <t>Slavic, Baltic, and Albanian Languages, Literatures, and Linguistics, Other.</t>
  </si>
  <si>
    <t>Germanic Languages, Literatures, and Linguistics.</t>
  </si>
  <si>
    <t>Germanic Languages, Literatures, and Linguistics, General.</t>
  </si>
  <si>
    <t>German Language and Literature.</t>
  </si>
  <si>
    <t>Scandinavian Languages, Literatures, and Linguistics.</t>
  </si>
  <si>
    <t>Danish Language and Literature.</t>
  </si>
  <si>
    <t>Dutch/Flemish Language and Literature.</t>
  </si>
  <si>
    <t>Norwegian Language and Literature.</t>
  </si>
  <si>
    <t>Swedish Language and Literature.</t>
  </si>
  <si>
    <t>Germanic Languages, Literatures, and Linguistics, Other.</t>
  </si>
  <si>
    <t>Modern Greek Language and Literature.</t>
  </si>
  <si>
    <t>South Asian Languages, Literatures, and Linguistics.</t>
  </si>
  <si>
    <t>South Asian Languages, Literatures, and Linguistics, General.</t>
  </si>
  <si>
    <t>Hindi Language and Literature.</t>
  </si>
  <si>
    <t>Sanskrit and Classical Indian Languages, Literatures, and Linguistics.</t>
  </si>
  <si>
    <t>Bengali Language and Literature.</t>
  </si>
  <si>
    <t>Punjabi Language and Literature.</t>
  </si>
  <si>
    <t>Tamil Language and Literature.</t>
  </si>
  <si>
    <t>Urdu Language and Literature.</t>
  </si>
  <si>
    <t>South Asian Languages, Literatures, and Linguistics, Other.</t>
  </si>
  <si>
    <t>Iranian/Persian Languages, Literatures, and Linguistics.</t>
  </si>
  <si>
    <t>Iranian Languages, Literatures, and Linguistics.</t>
  </si>
  <si>
    <t>Romance Languages, Literatures, and Linguistics.</t>
  </si>
  <si>
    <t>Romance Languages, Literatures, and Linguistics, General.</t>
  </si>
  <si>
    <t>French Language and Literature.</t>
  </si>
  <si>
    <t>Italian Language and Literature.</t>
  </si>
  <si>
    <t>Portuguese Language and Literature.</t>
  </si>
  <si>
    <t>Spanish Language and Literature.</t>
  </si>
  <si>
    <t>Romanian Language and Literature.</t>
  </si>
  <si>
    <t>Catalan Language and Literature.</t>
  </si>
  <si>
    <t>Hispanic and Latin American Languages, Literatures, and Linguistics, General.</t>
  </si>
  <si>
    <t>Romance Languages, Literatures, and Linguistics, Other.</t>
  </si>
  <si>
    <t>American Indian/Native American Languages, Literatures, and Linguistics.</t>
  </si>
  <si>
    <t>Middle/Near Eastern and Semitic Languages, Literatures, and Linguistics.</t>
  </si>
  <si>
    <t>Middle/Near Eastern and Semitic Languages, Literatures, and Linguistics, General.</t>
  </si>
  <si>
    <t>Arabic Language and Literature.</t>
  </si>
  <si>
    <t>Hebrew Language and Literature.</t>
  </si>
  <si>
    <t>Ancient Near Eastern and Biblical Languages, Literatures, and Linguistics.</t>
  </si>
  <si>
    <t>Middle/Near Eastern and Semitic Languages, Literatures, and Linguistics, Other.</t>
  </si>
  <si>
    <t>Classics and Classical Languages, Literatures, and Linguistics.</t>
  </si>
  <si>
    <t>Classics and Classical Languages, Literatures, and Linguistics, General.</t>
  </si>
  <si>
    <t>Ancient/Classical Greek Language and Literature.</t>
  </si>
  <si>
    <t>Latin Language and Literature.</t>
  </si>
  <si>
    <t>Classics and Classical Languages, Literatures, and Linguistics, Other.</t>
  </si>
  <si>
    <t>Celtic Languages, Literatures, and Linguistics.</t>
  </si>
  <si>
    <t>Southeast Asian and Australasian/Pacific Languages, Literatures, and Linguistics.</t>
  </si>
  <si>
    <t>Southeast Asian Languages, Literatures, and Linguistics, General.</t>
  </si>
  <si>
    <t>Australian/Oceanic/Pacific Languages, Literatures, and Linguistics.</t>
  </si>
  <si>
    <t>Indonesian/Malay Languages and Literatures.</t>
  </si>
  <si>
    <t>Burmese Language and Literature.</t>
  </si>
  <si>
    <t>Filipino/Tagalog Language and Literature.</t>
  </si>
  <si>
    <t>Khmer/Cambodian Language and Literature.</t>
  </si>
  <si>
    <t>Lao Language and Literature.</t>
  </si>
  <si>
    <t>Thai Language and Literature.</t>
  </si>
  <si>
    <t>Vietnamese Language and Literature.</t>
  </si>
  <si>
    <t>Hawaiian Language and Literature.</t>
  </si>
  <si>
    <t>Southeast Asian and Australasian/Pacific Languages, Literatures, and Linguistics, Other.</t>
  </si>
  <si>
    <t>Turkic, Uralic-Altaic, Caucasian, and Central Asian Languages, Literatures, and Linguistics.</t>
  </si>
  <si>
    <t>Turkish Language and Literature.</t>
  </si>
  <si>
    <t>Uralic Languages, Literatures, and Linguistics.</t>
  </si>
  <si>
    <t>Hungarian/Magyar Language and Literature.</t>
  </si>
  <si>
    <t>Mongolian Language and Literature.</t>
  </si>
  <si>
    <t>Turkic, Uralic-Altaic, Caucasian, and Central Asian Languages, Literatures, and Linguistics, Other.</t>
  </si>
  <si>
    <t>American Sign Language.</t>
  </si>
  <si>
    <t>American Sign Language (ASL).</t>
  </si>
  <si>
    <t>Linguistics of ASL and Other Sign Languages.</t>
  </si>
  <si>
    <t>Sign Language Interpretation and Translation.</t>
  </si>
  <si>
    <t>American Sign Language, Other.</t>
  </si>
  <si>
    <t>Second Language Learning.</t>
  </si>
  <si>
    <t>English as a Second Language.</t>
  </si>
  <si>
    <t>Armenian Languages, Literatures, and Linguistics.</t>
  </si>
  <si>
    <t>Armenian Language and Literature.</t>
  </si>
  <si>
    <t>Foreign Languages, Literatures, and Linguistics, Other.</t>
  </si>
  <si>
    <t>FAMILY AND CONSUMER SCIENCES/HUMAN SCIENCES.</t>
  </si>
  <si>
    <t>Work and Family Studies.</t>
  </si>
  <si>
    <t>Family and Consumer Sciences/Human Sciences, General.</t>
  </si>
  <si>
    <t>Family and Consumer Sciences/Human Sciences Business Services.</t>
  </si>
  <si>
    <t>Business Family and Consumer Sciences/Human Sciences.</t>
  </si>
  <si>
    <t>Family and Consumer Sciences/Human Sciences Communication.</t>
  </si>
  <si>
    <t>Consumer Merchandising/Retailing Management.</t>
  </si>
  <si>
    <t>Family and Consumer Sciences/Human Sciences Business Services, Other.</t>
  </si>
  <si>
    <t>Family and Consumer Economics and Related Studies.</t>
  </si>
  <si>
    <t>Family Resource Management Studies, General.</t>
  </si>
  <si>
    <t>Consumer Economics.</t>
  </si>
  <si>
    <t>Consumer Services and Advocacy.</t>
  </si>
  <si>
    <t>Family and Consumer Economics and Related Services, Other.</t>
  </si>
  <si>
    <t>Foods, Nutrition, and Related Services.</t>
  </si>
  <si>
    <t>Foods, Nutrition, and Wellness Studies, General.</t>
  </si>
  <si>
    <t>Human Nutrition.</t>
  </si>
  <si>
    <t>Foodservice Systems Administration/Management.</t>
  </si>
  <si>
    <t>Foods, Nutrition, and Related Services, Other.</t>
  </si>
  <si>
    <t>Housing and Human Environments.</t>
  </si>
  <si>
    <t>Housing and Human Environments, General.</t>
  </si>
  <si>
    <t>Facilities Planning and Management.</t>
  </si>
  <si>
    <t>Home Furnishings and Equipment Installers.</t>
  </si>
  <si>
    <t>Housing and Human Environments, Other.</t>
  </si>
  <si>
    <t>Human Development, Family Studies, and Related Services.</t>
  </si>
  <si>
    <t>Human Development and Family Studies, General.</t>
  </si>
  <si>
    <t>Adult Development and Aging.</t>
  </si>
  <si>
    <t>Family Systems.</t>
  </si>
  <si>
    <t>Child Development.</t>
  </si>
  <si>
    <t>Family and Community Services.</t>
  </si>
  <si>
    <t>Child Care and Support Services Management.</t>
  </si>
  <si>
    <t>Child Care Provider/Assistant.</t>
  </si>
  <si>
    <t>Developmental Services Worker.</t>
  </si>
  <si>
    <t>Early Childhood and Family Studies.</t>
  </si>
  <si>
    <t>Parent Education Services.</t>
  </si>
  <si>
    <t>Human Development, Family Studies, and Related Services, Other.</t>
  </si>
  <si>
    <t>Apparel and Textiles.</t>
  </si>
  <si>
    <t>Apparel and Textiles, General.</t>
  </si>
  <si>
    <t>Apparel and Textile Manufacture.</t>
  </si>
  <si>
    <t>Textile Science.</t>
  </si>
  <si>
    <t>Apparel and Textile Marketing Management.</t>
  </si>
  <si>
    <t>Fashion and Fabric Consultant.</t>
  </si>
  <si>
    <t>Apparel and Textiles, Other.</t>
  </si>
  <si>
    <t>Family and Consumer Sciences/Human Sciences, Other.</t>
  </si>
  <si>
    <t>RESERVED.</t>
  </si>
  <si>
    <t>LEGAL PROFESSIONS AND STUDIES.</t>
  </si>
  <si>
    <t>Non-Professional Legal Studies.</t>
  </si>
  <si>
    <t>Legal Studies.</t>
  </si>
  <si>
    <t>Pre-Law Studies.</t>
  </si>
  <si>
    <t>Non-Professional Legal Studies, Other.</t>
  </si>
  <si>
    <t>Law.</t>
  </si>
  <si>
    <t>Legal Research and Advanced Professional Studies.</t>
  </si>
  <si>
    <t>Advanced Legal Research/Studies, General.</t>
  </si>
  <si>
    <t>Programs for Foreign Lawyers.</t>
  </si>
  <si>
    <t>American/U.S. Law/Legal Studies/Jurisprudence.</t>
  </si>
  <si>
    <t>Canadian Law/Legal Studies/Jurisprudence.</t>
  </si>
  <si>
    <t>Banking, Corporate, Finance, and Securities Law.</t>
  </si>
  <si>
    <t>Comparative Law.</t>
  </si>
  <si>
    <t>Energy, Environment, and Natural Resources Law.</t>
  </si>
  <si>
    <t>Health Law.</t>
  </si>
  <si>
    <t>International Law and Legal Studies.</t>
  </si>
  <si>
    <t>International Business, Trade, and Tax Law.</t>
  </si>
  <si>
    <t>Tax Law/Taxation.</t>
  </si>
  <si>
    <t>Intellectual Property Law.</t>
  </si>
  <si>
    <t>Patent Law.</t>
  </si>
  <si>
    <t>Agriculture Law.</t>
  </si>
  <si>
    <t>Arts and Entertainment Law.</t>
  </si>
  <si>
    <t>Compliance Law.</t>
  </si>
  <si>
    <t>Criminal Law and Procedure.</t>
  </si>
  <si>
    <t>Entrepreneurship Law.</t>
  </si>
  <si>
    <t>Family/Child/Elder Law.</t>
  </si>
  <si>
    <t>Human Resources Law.</t>
  </si>
  <si>
    <t>Insurance Law.</t>
  </si>
  <si>
    <t>Real Estate and Land Development Law.</t>
  </si>
  <si>
    <t>Transportation Law.</t>
  </si>
  <si>
    <t>Tribal/Indigenous Law.</t>
  </si>
  <si>
    <t>Legal Research and Advanced Professional Studies, Other.</t>
  </si>
  <si>
    <t>Legal Support Services.</t>
  </si>
  <si>
    <t>Legal Administrative Assistant/Secretary.</t>
  </si>
  <si>
    <t>Legal Assistant/Paralegal.</t>
  </si>
  <si>
    <t>Court Reporting and Captioning/Court Reporter.</t>
  </si>
  <si>
    <t>Court Interpreter.</t>
  </si>
  <si>
    <t>Scopist.</t>
  </si>
  <si>
    <t>Legal Support Services, Other.</t>
  </si>
  <si>
    <t>Legal Professions and Studies, Other.</t>
  </si>
  <si>
    <t>ENGLISH LANGUAGE AND LITERATURE/LETTERS.</t>
  </si>
  <si>
    <t>English Language and Literature, General.</t>
  </si>
  <si>
    <t>Rhetoric and Composition/Writing Studies.</t>
  </si>
  <si>
    <t>Writing, General.</t>
  </si>
  <si>
    <t>Creative Writing.</t>
  </si>
  <si>
    <t>Professional, Technical, Business, and Scientific Writing.</t>
  </si>
  <si>
    <t>Rhetoric and Composition.</t>
  </si>
  <si>
    <t>Rhetoric and Composition/Writing Studies, Other.</t>
  </si>
  <si>
    <t>Literature.</t>
  </si>
  <si>
    <t>General Literature.</t>
  </si>
  <si>
    <t>American Literature (United States).</t>
  </si>
  <si>
    <t>American Literature (Canadian).</t>
  </si>
  <si>
    <t>English Literature (British and Commonwealth).</t>
  </si>
  <si>
    <t>Children's and Adolescent Literature.</t>
  </si>
  <si>
    <t>Literature, Other.</t>
  </si>
  <si>
    <t>English Language and Literature/Letters, Other.</t>
  </si>
  <si>
    <t>LIBERAL ARTS AND SCIENCES, GENERAL STUDIES AND HUMANITIES.</t>
  </si>
  <si>
    <t>Liberal Arts and Sciences, General Studies and Humanities.</t>
  </si>
  <si>
    <t>Liberal Arts and Sciences/Liberal Studies.</t>
  </si>
  <si>
    <t>General Studies.</t>
  </si>
  <si>
    <t>Humanities/Humanistic Studies.</t>
  </si>
  <si>
    <t>Liberal Arts and Sciences, General Studies and Humanities, Other.</t>
  </si>
  <si>
    <t>LIBRARY SCIENCE.</t>
  </si>
  <si>
    <t>Library Science and Administration.</t>
  </si>
  <si>
    <t>Library and Information Science.</t>
  </si>
  <si>
    <t>Children and Youth Library Services.</t>
  </si>
  <si>
    <t>Archives/Archival Administration.</t>
  </si>
  <si>
    <t>Library Science and Administration, Other.</t>
  </si>
  <si>
    <t>Library and Archives Assisting.</t>
  </si>
  <si>
    <t>Library Science, Other.</t>
  </si>
  <si>
    <t>BIOLOGICAL AND BIOMEDICAL SCIENCES.</t>
  </si>
  <si>
    <t>Biology, General.</t>
  </si>
  <si>
    <t>Biology/Biological Sciences, General.</t>
  </si>
  <si>
    <t>Biomedical Sciences, General.</t>
  </si>
  <si>
    <t>Biochemistry, Biophysics and Molecular Biology.</t>
  </si>
  <si>
    <t>Biochemistry.</t>
  </si>
  <si>
    <t>Biophysics.</t>
  </si>
  <si>
    <t>Molecular Biology.</t>
  </si>
  <si>
    <t>Molecular Biochemistry.</t>
  </si>
  <si>
    <t>Molecular Biophysics.</t>
  </si>
  <si>
    <t>Structural Biology.</t>
  </si>
  <si>
    <t>Photobiology.</t>
  </si>
  <si>
    <t>Radiation Biology/Radiobiology.</t>
  </si>
  <si>
    <t>Biochemistry and Molecular Biology.</t>
  </si>
  <si>
    <t>Biochemistry, Biophysics and Molecular Biology, Other.</t>
  </si>
  <si>
    <t>Botany/Plant Biology.</t>
  </si>
  <si>
    <t>Plant Pathology/Phytopathology.</t>
  </si>
  <si>
    <t>Plant Physiology.</t>
  </si>
  <si>
    <t>Plant Molecular Biology.</t>
  </si>
  <si>
    <t>Botany/Plant Biology, Other.</t>
  </si>
  <si>
    <t>Cell/Cellular Biology and Anatomical Sciences.</t>
  </si>
  <si>
    <t>Cell/Cellular Biology and Histology.</t>
  </si>
  <si>
    <t>Anatomy.</t>
  </si>
  <si>
    <t>Developmental Biology and Embryology.</t>
  </si>
  <si>
    <t>Cell/Cellular and Molecular Biology.</t>
  </si>
  <si>
    <t>Cell Biology and Anatomy.</t>
  </si>
  <si>
    <t>Cell/Cellular Biology and Anatomical Sciences, Other.</t>
  </si>
  <si>
    <t>Microbiological Sciences and Immunology.</t>
  </si>
  <si>
    <t>Microbiology, General.</t>
  </si>
  <si>
    <t>Medical Microbiology and Bacteriology.</t>
  </si>
  <si>
    <t>Virology.</t>
  </si>
  <si>
    <t>Parasitology.</t>
  </si>
  <si>
    <t>Mycology.</t>
  </si>
  <si>
    <t>Immunology.</t>
  </si>
  <si>
    <t>Microbiology and Immunology.</t>
  </si>
  <si>
    <t>Infectious Disease and Global Health.</t>
  </si>
  <si>
    <t>Microbiological Sciences and Immunology, Other.</t>
  </si>
  <si>
    <t>Zoology/Animal Biology.</t>
  </si>
  <si>
    <t>Entomology.</t>
  </si>
  <si>
    <t>Animal Physiology.</t>
  </si>
  <si>
    <t>Animal Behavior and Ethology.</t>
  </si>
  <si>
    <t>Wildlife Biology.</t>
  </si>
  <si>
    <t>Zoology/Animal Biology, Other.</t>
  </si>
  <si>
    <t>Genetics.</t>
  </si>
  <si>
    <t>Genetics, General.</t>
  </si>
  <si>
    <t>Molecular Genetics.</t>
  </si>
  <si>
    <t>Microbial and Eukaryotic Genetics.</t>
  </si>
  <si>
    <t>Animal Genetics.</t>
  </si>
  <si>
    <t>Plant Genetics.</t>
  </si>
  <si>
    <t>Human/Medical Genetics.</t>
  </si>
  <si>
    <t>Genome Sciences/Genomics.</t>
  </si>
  <si>
    <t>Genetics, Other.</t>
  </si>
  <si>
    <t>Physiology, Pathology and Related Sciences.</t>
  </si>
  <si>
    <t>Physiology, General.</t>
  </si>
  <si>
    <t>Molecular Physiology.</t>
  </si>
  <si>
    <t>Cell Physiology.</t>
  </si>
  <si>
    <t>Endocrinology.</t>
  </si>
  <si>
    <t>Reproductive Biology.</t>
  </si>
  <si>
    <t>Cardiovascular Science.</t>
  </si>
  <si>
    <t>Exercise Physiology and Kinesiology.</t>
  </si>
  <si>
    <t>Vision Science/Physiological Optics.</t>
  </si>
  <si>
    <t>Pathology/Experimental Pathology.</t>
  </si>
  <si>
    <t>Oncology and Cancer Biology.</t>
  </si>
  <si>
    <t>Aerospace Physiology and Medicine.</t>
  </si>
  <si>
    <t>Biomechanics.</t>
  </si>
  <si>
    <t>Physiology, Pathology, and Related Sciences, Other.</t>
  </si>
  <si>
    <t>Pharmacology and Toxicology.</t>
  </si>
  <si>
    <t>Pharmacology.</t>
  </si>
  <si>
    <t>Molecular Pharmacology.</t>
  </si>
  <si>
    <t>Neuropharmacology.</t>
  </si>
  <si>
    <t>Toxicology.</t>
  </si>
  <si>
    <t>Molecular Toxicology.</t>
  </si>
  <si>
    <t>Environmental Toxicology.</t>
  </si>
  <si>
    <t>Pharmacology and Toxicology, Other.</t>
  </si>
  <si>
    <t>Biomathematics, Bioinformatics, and Computational Biology.</t>
  </si>
  <si>
    <t>Biometry/Biometrics.</t>
  </si>
  <si>
    <t>Biostatistics.</t>
  </si>
  <si>
    <t>Bioinformatics.</t>
  </si>
  <si>
    <t>Computational Biology.</t>
  </si>
  <si>
    <t>Biomathematics, Bioinformatics, and Computational Biology, Other.</t>
  </si>
  <si>
    <t>Biotechnology.</t>
  </si>
  <si>
    <t>Ecology, Evolution, Systematics, and Population Biology.</t>
  </si>
  <si>
    <t>Ecology.</t>
  </si>
  <si>
    <t>Marine Biology and Biological Oceanography.</t>
  </si>
  <si>
    <t>Evolutionary Biology.</t>
  </si>
  <si>
    <t>Aquatic Biology/Limnology.</t>
  </si>
  <si>
    <t>Environmental Biology.</t>
  </si>
  <si>
    <t>Population Biology.</t>
  </si>
  <si>
    <t>Conservation Biology.</t>
  </si>
  <si>
    <t>Systematic Biology/Biological Systematics.</t>
  </si>
  <si>
    <t>Epidemiology.</t>
  </si>
  <si>
    <t>Ecology and Evolutionary Biology.</t>
  </si>
  <si>
    <t>Epidemiology and Biostatistics.</t>
  </si>
  <si>
    <t>Ecology, Evolution, Systematics and Population Biology, Other.</t>
  </si>
  <si>
    <t>Molecular Medicine.</t>
  </si>
  <si>
    <t>Neurobiology and Neurosciences.</t>
  </si>
  <si>
    <t>Neuroscience.</t>
  </si>
  <si>
    <t>Neuroanatomy.</t>
  </si>
  <si>
    <t>Neurobiology and Anatomy.</t>
  </si>
  <si>
    <t>Neurobiology and Behavior.</t>
  </si>
  <si>
    <t>Neurobiology and Neurosciences, Other.</t>
  </si>
  <si>
    <t>Biological and Biomedical Sciences, Other.</t>
  </si>
  <si>
    <t>MATHEMATICS AND STATISTICS.</t>
  </si>
  <si>
    <t>Mathematics.</t>
  </si>
  <si>
    <t>Mathematics, General.</t>
  </si>
  <si>
    <t>Algebra and Number Theory.</t>
  </si>
  <si>
    <t>Analysis and Functional Analysis.</t>
  </si>
  <si>
    <t>Geometry/Geometric Analysis.</t>
  </si>
  <si>
    <t>Topology and Foundations.</t>
  </si>
  <si>
    <t>Mathematics, Other.</t>
  </si>
  <si>
    <t>Applied Mathematics.</t>
  </si>
  <si>
    <t>Applied Mathematics, General.</t>
  </si>
  <si>
    <t>Computational Mathematics.</t>
  </si>
  <si>
    <t>Computational and Applied Mathematics.</t>
  </si>
  <si>
    <t>Financial Mathematics.</t>
  </si>
  <si>
    <t>Mathematical Biology.</t>
  </si>
  <si>
    <t>Applied Mathematics, Other.</t>
  </si>
  <si>
    <t>Statistics.</t>
  </si>
  <si>
    <t>Statistics, General.</t>
  </si>
  <si>
    <t>Mathematical Statistics and Probability.</t>
  </si>
  <si>
    <t>Mathematics and Statistics.</t>
  </si>
  <si>
    <t>Statistics, Other.</t>
  </si>
  <si>
    <t>Applied Statistics.</t>
  </si>
  <si>
    <t>Applied Statistics, General.</t>
  </si>
  <si>
    <t>Mathematics and Statistics, Other.</t>
  </si>
  <si>
    <t>MILITARY SCIENCE, LEADERSHIP AND OPERATIONAL ART.</t>
  </si>
  <si>
    <t>Air Force ROTC, Air Science and Operations.</t>
  </si>
  <si>
    <t>Air Force JROTC/ROTC.</t>
  </si>
  <si>
    <t>Air Force ROTC, Air Science and Operations, Other.</t>
  </si>
  <si>
    <t>Army ROTC, Military Science and Operations.</t>
  </si>
  <si>
    <t>Army JROTC/ROTC.</t>
  </si>
  <si>
    <t>Army ROTC, Military Science and Operations, Other.</t>
  </si>
  <si>
    <t>Navy/Marine ROTC, Naval Science and Operations.</t>
  </si>
  <si>
    <t>Navy/Marine Corps JROTC/ROTC.</t>
  </si>
  <si>
    <t>Navy/Marine Corps ROTC, Naval Science and Operations, Other.</t>
  </si>
  <si>
    <t>Military Science and Operational Studies.</t>
  </si>
  <si>
    <t>Air Science/Airpower Studies.</t>
  </si>
  <si>
    <t>Air and Space Operational Art and Science.</t>
  </si>
  <si>
    <t>Military Operational Art and Science/Studies.</t>
  </si>
  <si>
    <t>Advanced Military and Operational Studies.</t>
  </si>
  <si>
    <t>Naval Science and Operational Studies.</t>
  </si>
  <si>
    <t>Special, Irregular and Counterterrorist Operations.</t>
  </si>
  <si>
    <t>Military Science and Operational Studies, Other.</t>
  </si>
  <si>
    <t>Security Policy and Strategy.</t>
  </si>
  <si>
    <t>Strategic Studies, General.</t>
  </si>
  <si>
    <t>Military and Strategic Leadership.</t>
  </si>
  <si>
    <t>Military and International Operational Law.</t>
  </si>
  <si>
    <t>Joint Operations Planning and Strategy.</t>
  </si>
  <si>
    <t>Weapons of Mass Destruction.</t>
  </si>
  <si>
    <t>National Security Policy and Strategy, Other.</t>
  </si>
  <si>
    <t>Military Economics and Management.</t>
  </si>
  <si>
    <t>National Resource Strategy and Policy.</t>
  </si>
  <si>
    <t>Industry Studies.</t>
  </si>
  <si>
    <t>Military Installation Management.</t>
  </si>
  <si>
    <t>Military Economics and Management, Other.</t>
  </si>
  <si>
    <t>Military Science, Leadership and Operational Art, Other.</t>
  </si>
  <si>
    <t>MILITARY TECHNOLOGIES AND APPLIED SCIENCES.</t>
  </si>
  <si>
    <t>Intelligence, Command Control and Information Operations.</t>
  </si>
  <si>
    <t>Intelligence, General.</t>
  </si>
  <si>
    <t>Strategic Intelligence.</t>
  </si>
  <si>
    <t>Signal/Geospatial Intelligence.</t>
  </si>
  <si>
    <t>Command &amp; Control (C3, C4I) Systems and Operations.</t>
  </si>
  <si>
    <t>Information Operations/Joint Information Operations.</t>
  </si>
  <si>
    <t>Information/Psychological Warfare and Military Media Relations.</t>
  </si>
  <si>
    <t>Cyber/Electronic Operations and Warfare.</t>
  </si>
  <si>
    <t>Intelligence, Command Control and Information Operations, Other.</t>
  </si>
  <si>
    <t>Military Applied Sciences.</t>
  </si>
  <si>
    <t>Combat Systems Engineering.</t>
  </si>
  <si>
    <t>Directed Energy Systems.</t>
  </si>
  <si>
    <t>Engineering Acoustics.</t>
  </si>
  <si>
    <t>Low-Observables and Stealth Technology.</t>
  </si>
  <si>
    <t>Space Systems Operations.</t>
  </si>
  <si>
    <t>Operational Oceanography.</t>
  </si>
  <si>
    <t>Undersea Warfare.</t>
  </si>
  <si>
    <t>Military Applied Sciences, Other.</t>
  </si>
  <si>
    <t>Military Systems and Maintenance Technology.</t>
  </si>
  <si>
    <t>Aerospace Ground Equipment Technology.</t>
  </si>
  <si>
    <t>Air and Space Operations Technology.</t>
  </si>
  <si>
    <t>Aircraft Armament Systems Technology.</t>
  </si>
  <si>
    <t>Explosive Ordinance/Bomb Disposal.</t>
  </si>
  <si>
    <t>Joint Command/Task Force (C3, C4I) Systems.</t>
  </si>
  <si>
    <t>Military Information Systems Technology.</t>
  </si>
  <si>
    <t>Missile and Space Systems Technology.</t>
  </si>
  <si>
    <t>Munitions Systems/Ordinance Technology.</t>
  </si>
  <si>
    <t>Radar Communications and Systems Technology.</t>
  </si>
  <si>
    <t>Military Systems and Maintenance Technology, Other.</t>
  </si>
  <si>
    <t>Military Technology and Applied Sciences Management.</t>
  </si>
  <si>
    <t>Military Technologies and Applied Sciences, Other.</t>
  </si>
  <si>
    <t>MULTI/INTERDISCIPLINARY STUDIES.</t>
  </si>
  <si>
    <t>Multi-/Interdisciplinary Studies, General.</t>
  </si>
  <si>
    <t>Comprehensive Transition and Postsecondary (CTP) Program.</t>
  </si>
  <si>
    <t>Biological and Physical Sciences.</t>
  </si>
  <si>
    <t>Peace Studies and Conflict Resolution.</t>
  </si>
  <si>
    <t>Systems Science and Theory.</t>
  </si>
  <si>
    <t>Mathematics and Computer Science.</t>
  </si>
  <si>
    <t>Biopsychology.</t>
  </si>
  <si>
    <t>Gerontology.</t>
  </si>
  <si>
    <t>Historic Preservation and Conservation.</t>
  </si>
  <si>
    <t>Historic Preservation and Conservation, General.</t>
  </si>
  <si>
    <t>Cultural Resource Management and Policy Analysis.</t>
  </si>
  <si>
    <t>Historic Preservation and Conservation, Other.</t>
  </si>
  <si>
    <t>Medieval and Renaissance Studies.</t>
  </si>
  <si>
    <t>Museology/Museum Studies.</t>
  </si>
  <si>
    <t>Science, Technology and Society.</t>
  </si>
  <si>
    <t>Accounting and Computer Science.</t>
  </si>
  <si>
    <t>Behavioral Sciences.</t>
  </si>
  <si>
    <t>Natural Sciences.</t>
  </si>
  <si>
    <t>Nutrition Sciences.</t>
  </si>
  <si>
    <t>International/Globalization Studies.</t>
  </si>
  <si>
    <t>Holocaust and Related Studies.</t>
  </si>
  <si>
    <t>Classical and Ancient Studies.</t>
  </si>
  <si>
    <t>Ancient Studies/Civilization.</t>
  </si>
  <si>
    <t>Classical, Ancient Mediterranean, and Near Eastern Studies and Archaeology.</t>
  </si>
  <si>
    <t>Classical and Ancient Studies, Other.</t>
  </si>
  <si>
    <t>Intercultural/Multicultural and Diversity Studies.</t>
  </si>
  <si>
    <t>Cognitive Science.</t>
  </si>
  <si>
    <t>Cognitive Science, General.</t>
  </si>
  <si>
    <t>Contemplative Studies/Inquiry.</t>
  </si>
  <si>
    <t>Cognitive Science, Other.</t>
  </si>
  <si>
    <t>Cultural Studies/Critical Theory and Analysis.</t>
  </si>
  <si>
    <t>Human Biology.</t>
  </si>
  <si>
    <t>Dispute Resolution.</t>
  </si>
  <si>
    <t>Maritime Studies.</t>
  </si>
  <si>
    <t>Computational Science.</t>
  </si>
  <si>
    <t>Human Computer Interaction.</t>
  </si>
  <si>
    <t>Marine Sciences.</t>
  </si>
  <si>
    <t>Sustainability Studies.</t>
  </si>
  <si>
    <t>Anthrozoology.</t>
  </si>
  <si>
    <t>Climate Science.</t>
  </si>
  <si>
    <t>Cultural Studies and Comparative Literature.</t>
  </si>
  <si>
    <t>Design for Human Health.</t>
  </si>
  <si>
    <t>Earth Systems Science.</t>
  </si>
  <si>
    <t>Economics and Computer Science.</t>
  </si>
  <si>
    <t>Economics and Foreign Language/Literature.</t>
  </si>
  <si>
    <t>Environmental Geosciences.</t>
  </si>
  <si>
    <t>Geoarcheaology.</t>
  </si>
  <si>
    <t>Geobiology.</t>
  </si>
  <si>
    <t>Geography and Environmental Studies.</t>
  </si>
  <si>
    <t>History and Language/Literature.</t>
  </si>
  <si>
    <t>History and Political Science.</t>
  </si>
  <si>
    <t>Linguistics and Anthropology.</t>
  </si>
  <si>
    <t>Linguistics and Computer Science.</t>
  </si>
  <si>
    <t>Mathematical Economics.</t>
  </si>
  <si>
    <t>Mathematics and Atmospheric/Oceanic Science.</t>
  </si>
  <si>
    <t>Philosophy, Politics, and Economics.</t>
  </si>
  <si>
    <t>Digital Humanities and Textual Studies.</t>
  </si>
  <si>
    <t>Digital Humanities and Textual Studies, General.</t>
  </si>
  <si>
    <t>Digital Humanities.</t>
  </si>
  <si>
    <t>Textual Studies.</t>
  </si>
  <si>
    <t>Digital Humanities and Textual Studies, Other.</t>
  </si>
  <si>
    <t>Thanatology.</t>
  </si>
  <si>
    <t>Data Science.</t>
  </si>
  <si>
    <t>Data Science, General.</t>
  </si>
  <si>
    <t>Data Science, Other.</t>
  </si>
  <si>
    <t>Data Analytics.</t>
  </si>
  <si>
    <t>Data Analytics, General.</t>
  </si>
  <si>
    <t>Business Analytics.</t>
  </si>
  <si>
    <t>Data Visualization.</t>
  </si>
  <si>
    <t>Financial Analytics.</t>
  </si>
  <si>
    <t>Data Analytics, Other.</t>
  </si>
  <si>
    <t>Multi/Interdisciplinary Studies, Other.</t>
  </si>
  <si>
    <t>Multi-/Interdisciplinary Studies, Other.</t>
  </si>
  <si>
    <t>PARKS, RECREATION, LEISURE, FITNESS, AND KINESIOLOGY.</t>
  </si>
  <si>
    <t>Parks, Recreation, and Leisure Studies.</t>
  </si>
  <si>
    <t>Parks, Recreation, and Leisure Facilities Management.</t>
  </si>
  <si>
    <t>Parks, Recreation, and Leisure Facilities Management, General.</t>
  </si>
  <si>
    <t>Golf Course Operation and Grounds Management.</t>
  </si>
  <si>
    <t>Parks, Recreation, and Leisure Facilities Management, Other.</t>
  </si>
  <si>
    <t>Sports, Kinesiology, and Physical Education/Fitness.</t>
  </si>
  <si>
    <t>Sports, Kinesiology, and Physical Education/Fitness, General.</t>
  </si>
  <si>
    <t>Sport and Fitness Administration/Management.</t>
  </si>
  <si>
    <t>Exercise Science and Kinesiology.</t>
  </si>
  <si>
    <t>Physical Fitness Technician.</t>
  </si>
  <si>
    <t>Sports Studies.</t>
  </si>
  <si>
    <t>Sports, Kinesiology, and Physical Education/Fitness, Other.</t>
  </si>
  <si>
    <t>Outdoor Education.</t>
  </si>
  <si>
    <t>Parks, Recreation, Leisure, Fitness, and Kinesiology, Other.</t>
  </si>
  <si>
    <t>BASIC SKILLS AND DEVELOPMENTAL/REMEDIAL EDUCATION.</t>
  </si>
  <si>
    <t>Basic Skills and Developmental/Remedial Education.</t>
  </si>
  <si>
    <t>Basic Skills and Developmental/Remedial Education, General.</t>
  </si>
  <si>
    <t>Developmental/Remedial Mathematics.</t>
  </si>
  <si>
    <t>Job-Seeking/Changing Skills.</t>
  </si>
  <si>
    <t>Career Exploration/Awareness Skills.</t>
  </si>
  <si>
    <t>Developmental/Remedial English.</t>
  </si>
  <si>
    <t>Basic Computer Skills.</t>
  </si>
  <si>
    <t>Workforce Development and Training.</t>
  </si>
  <si>
    <t>Accent Reduction/Modification.</t>
  </si>
  <si>
    <t>Basic Skills and Developmental/Remedial Education, Other.</t>
  </si>
  <si>
    <t>General Exam Preparation and Test-Taking Skills.</t>
  </si>
  <si>
    <t>Exam Preparation and Test-Taking Skills, General.</t>
  </si>
  <si>
    <t>High School Equivalent Exam Preparation.</t>
  </si>
  <si>
    <t>Undergraduate Entrance/Placement Examination Preparation.</t>
  </si>
  <si>
    <t>Graduate/Professional School Entrance Examination Preparation.</t>
  </si>
  <si>
    <t>Professional Certification/Licensure Examination Preparation.</t>
  </si>
  <si>
    <t>General Exam Preparation and Test-Taking Skills, Other.</t>
  </si>
  <si>
    <t>CITIZENSHIP ACTIVITIES.</t>
  </si>
  <si>
    <t>Citizenship Activities.</t>
  </si>
  <si>
    <t>Citizenship Activities, General.</t>
  </si>
  <si>
    <t>American Citizenship Education.</t>
  </si>
  <si>
    <t>Community Awareness.</t>
  </si>
  <si>
    <t>Community Involvement.</t>
  </si>
  <si>
    <t>Canadian Citizenship Education.</t>
  </si>
  <si>
    <t>Personal Emergency Preparedness.</t>
  </si>
  <si>
    <t>Citizenship Activities, Other.</t>
  </si>
  <si>
    <t>HEALTH-RELATED KNOWLEDGE AND SKILLS.</t>
  </si>
  <si>
    <t>Health-Related Knowledge and Skills.</t>
  </si>
  <si>
    <t>Birthing and Parenting Knowledge and Skills.</t>
  </si>
  <si>
    <t>Personal Health Improvement and Maintenance.</t>
  </si>
  <si>
    <t>Addiction Prevention and Treatment.</t>
  </si>
  <si>
    <t>Meditation/Mind-Body Wellness.</t>
  </si>
  <si>
    <t>Health-Related Knowledge and Skills, Other.</t>
  </si>
  <si>
    <t>INTERPERSONAL AND SOCIAL SKILLS.</t>
  </si>
  <si>
    <t>Interpersonal and Social Skills.</t>
  </si>
  <si>
    <t>Interpersonal and Social Skills, General.</t>
  </si>
  <si>
    <t>Interpersonal Relationships Skills.</t>
  </si>
  <si>
    <t>Business and Social Skills.</t>
  </si>
  <si>
    <t>Life Coaching.</t>
  </si>
  <si>
    <t>Interpersonal Social Skills, Other.</t>
  </si>
  <si>
    <t>LEISURE AND RECREATIONAL ACTIVITIES.</t>
  </si>
  <si>
    <t>Leisure and Recreational Activities.</t>
  </si>
  <si>
    <t>Leisure and Recreational Activities, General.</t>
  </si>
  <si>
    <t>Handicrafts and Model-Making.</t>
  </si>
  <si>
    <t>Board, Card and Role-Playing Games.</t>
  </si>
  <si>
    <t>Home Maintenance and Improvement.</t>
  </si>
  <si>
    <t>Nature Appreciation.</t>
  </si>
  <si>
    <t>Pet Ownership and Care.</t>
  </si>
  <si>
    <t>Sports and Exercise.</t>
  </si>
  <si>
    <t>Travel and Exploration.</t>
  </si>
  <si>
    <t>Art.</t>
  </si>
  <si>
    <t>Collecting.</t>
  </si>
  <si>
    <t>Cooking and Other Domestic Skills.</t>
  </si>
  <si>
    <t>Computer Games and Programming Skills.</t>
  </si>
  <si>
    <t>Dancing.</t>
  </si>
  <si>
    <t>Music.</t>
  </si>
  <si>
    <t>Reading.</t>
  </si>
  <si>
    <t>Theatre/Theater.</t>
  </si>
  <si>
    <t>Writing.</t>
  </si>
  <si>
    <t>Aircraft Pilot (Private).</t>
  </si>
  <si>
    <t>Beekeeping.</t>
  </si>
  <si>
    <t>Firearms Training/Safety.</t>
  </si>
  <si>
    <t>Floral Design/Arrangement.</t>
  </si>
  <si>
    <t>Master Gardener/Gardening.</t>
  </si>
  <si>
    <t>Leisure and Recreational Activities, Other.</t>
  </si>
  <si>
    <t>Noncommercial Vehicle Operation.</t>
  </si>
  <si>
    <t>Automobile Driver Education.</t>
  </si>
  <si>
    <t>Helicopter Pilot (Private).</t>
  </si>
  <si>
    <t>Motorcycle Rider Education.</t>
  </si>
  <si>
    <t>Personal Watercraft/Boating Education.</t>
  </si>
  <si>
    <t>Remote Aircraft Pilot (Personal).</t>
  </si>
  <si>
    <t>Noncommercial Vehicle Operation, Other.</t>
  </si>
  <si>
    <t>PERSONAL AWARENESS AND SELF-IMPROVEMENT.</t>
  </si>
  <si>
    <t>Personal Awareness and Self-Improvement.</t>
  </si>
  <si>
    <t>Self-Awareness and Personal Assessment.</t>
  </si>
  <si>
    <t>Stress Management and Coping Skills.</t>
  </si>
  <si>
    <t>Personal Decision-Making Skills.</t>
  </si>
  <si>
    <t>Self-Esteem and Values Clarification.</t>
  </si>
  <si>
    <t>Investing/Wealth Management/Retirement Planning.</t>
  </si>
  <si>
    <t>Self-Defense.</t>
  </si>
  <si>
    <t>Personal Awareness and Self-Improvement, Other.</t>
  </si>
  <si>
    <t>PHILOSOPHY AND RELIGIOUS STUDIES.</t>
  </si>
  <si>
    <t>Philosophy and Religious Studies, General.</t>
  </si>
  <si>
    <t>Philosophy.</t>
  </si>
  <si>
    <t>Logic.</t>
  </si>
  <si>
    <t>Ethics.</t>
  </si>
  <si>
    <t>Applied and Professional Ethics.</t>
  </si>
  <si>
    <t>Philosophy, Other.</t>
  </si>
  <si>
    <t>Religion/Religious Studies.</t>
  </si>
  <si>
    <t>Buddhist Studies.</t>
  </si>
  <si>
    <t>Christian Studies.</t>
  </si>
  <si>
    <t>Hindu Studies.</t>
  </si>
  <si>
    <t>Islamic Studies.</t>
  </si>
  <si>
    <t>Jewish/Judaic Studies.</t>
  </si>
  <si>
    <t>Talmudic Studies.</t>
  </si>
  <si>
    <t>Catholic Studies.</t>
  </si>
  <si>
    <t>Mormon Studies.</t>
  </si>
  <si>
    <t>Religion/Religious Studies, Other.</t>
  </si>
  <si>
    <t>Philosophy and Religious Studies, Other.</t>
  </si>
  <si>
    <t>THEOLOGY AND RELIGIOUS VOCATIONS.</t>
  </si>
  <si>
    <t>Bible/Biblical Studies.</t>
  </si>
  <si>
    <t>Missions/Missionary Studies and Missiology.</t>
  </si>
  <si>
    <t>Missions/Missionary Studies.</t>
  </si>
  <si>
    <t>Church Planting.</t>
  </si>
  <si>
    <t>Missions/Missionary Studies and Missiology, Other.</t>
  </si>
  <si>
    <t>Religious Education.</t>
  </si>
  <si>
    <t>Religious Music and Worship.</t>
  </si>
  <si>
    <t>Religious/Sacred Music.</t>
  </si>
  <si>
    <t>Worship Ministry.</t>
  </si>
  <si>
    <t>Religious Music and Worship, Other.</t>
  </si>
  <si>
    <t>Theological and Ministerial Studies.</t>
  </si>
  <si>
    <t>Theology/Theological Studies.</t>
  </si>
  <si>
    <t>Divinity/Ministry.</t>
  </si>
  <si>
    <t>Pre-Theology/Pre-Ministerial Studies.</t>
  </si>
  <si>
    <t>Rabbinical Studies.</t>
  </si>
  <si>
    <t>Theological and Ministerial Studies, Other.</t>
  </si>
  <si>
    <t>Pastoral Counseling and Specialized Ministries.</t>
  </si>
  <si>
    <t>Pastoral Studies/Counseling.</t>
  </si>
  <si>
    <t>Youth Ministry.</t>
  </si>
  <si>
    <t>Urban Ministry.</t>
  </si>
  <si>
    <t>Women's Ministry.</t>
  </si>
  <si>
    <t>Lay Ministry.</t>
  </si>
  <si>
    <t>Chaplain/Chaplaincy Studies.</t>
  </si>
  <si>
    <t>Pastoral Counseling and Specialized Ministries, Other.</t>
  </si>
  <si>
    <t>Religious Institution Administration and Law.</t>
  </si>
  <si>
    <t>Religious Institution Administration and Management.</t>
  </si>
  <si>
    <t>Religious/Canon Law.</t>
  </si>
  <si>
    <t>Religious Institution Administration and Law, Other.</t>
  </si>
  <si>
    <t>Theology and Religious Vocations, Other.</t>
  </si>
  <si>
    <t>PHYSICAL SCIENCES.</t>
  </si>
  <si>
    <t>Physical Sciences, General.</t>
  </si>
  <si>
    <t>Astronomy and Astrophysics.</t>
  </si>
  <si>
    <t>Astronomy.</t>
  </si>
  <si>
    <t>Astrophysics.</t>
  </si>
  <si>
    <t>Planetary Astronomy and Science.</t>
  </si>
  <si>
    <t>Astronomy and Astrophysics, Other.</t>
  </si>
  <si>
    <t>Atmospheric Sciences and Meteorology.</t>
  </si>
  <si>
    <t>Atmospheric Sciences and Meteorology, General.</t>
  </si>
  <si>
    <t>Atmospheric Chemistry and Climatology.</t>
  </si>
  <si>
    <t>Atmospheric Physics and Dynamics.</t>
  </si>
  <si>
    <t>Meteorology.</t>
  </si>
  <si>
    <t>Atmospheric Sciences and Meteorology, Other.</t>
  </si>
  <si>
    <t>Chemistry.</t>
  </si>
  <si>
    <t>Chemistry, General.</t>
  </si>
  <si>
    <t>Analytical Chemistry.</t>
  </si>
  <si>
    <t>Inorganic Chemistry.</t>
  </si>
  <si>
    <t>Organic Chemistry.</t>
  </si>
  <si>
    <t>Physical Chemistry.</t>
  </si>
  <si>
    <t>Polymer Chemistry.</t>
  </si>
  <si>
    <t>Chemical Physics.</t>
  </si>
  <si>
    <t>Environmental Chemistry.</t>
  </si>
  <si>
    <t>Forensic Chemistry.</t>
  </si>
  <si>
    <t>Theoretical Chemistry.</t>
  </si>
  <si>
    <t>Cheminformatics/Chemistry Informatics.</t>
  </si>
  <si>
    <t>Chemistry, Other.</t>
  </si>
  <si>
    <t>Geological and Earth Sciences/Geosciences.</t>
  </si>
  <si>
    <t>Geology/Earth Science, General.</t>
  </si>
  <si>
    <t>Geochemistry.</t>
  </si>
  <si>
    <t>Geophysics and Seismology.</t>
  </si>
  <si>
    <t>Paleontology.</t>
  </si>
  <si>
    <t>Hydrology and Water Resources Science.</t>
  </si>
  <si>
    <t>Geochemistry and Petrology.</t>
  </si>
  <si>
    <t>Oceanography, Chemical and Physical.</t>
  </si>
  <si>
    <t>Geological and Earth Sciences/Geosciences, Other.</t>
  </si>
  <si>
    <t>Physics.</t>
  </si>
  <si>
    <t>Physics, General.</t>
  </si>
  <si>
    <t>Atomic/Molecular Physics.</t>
  </si>
  <si>
    <t>Elementary Particle Physics.</t>
  </si>
  <si>
    <t>Plasma and High-Temperature Physics.</t>
  </si>
  <si>
    <t>Nuclear Physics.</t>
  </si>
  <si>
    <t>Optics/Optical Sciences.</t>
  </si>
  <si>
    <t>Condensed Matter and Materials Physics.</t>
  </si>
  <si>
    <t>Acoustics.</t>
  </si>
  <si>
    <t>Theoretical and Mathematical Physics.</t>
  </si>
  <si>
    <t>Physics, Other.</t>
  </si>
  <si>
    <t>Materials Sciences.</t>
  </si>
  <si>
    <t>Materials Science.</t>
  </si>
  <si>
    <t>Materials Chemistry.</t>
  </si>
  <si>
    <t>Materials Sciences, Other.</t>
  </si>
  <si>
    <t>Physics and Astronomy.</t>
  </si>
  <si>
    <t>Physical Sciences, Other.</t>
  </si>
  <si>
    <t>SCIENCE TECHNOLOGIES/TECHNICIANS.</t>
  </si>
  <si>
    <t>Science Technologies/Technicians, General.</t>
  </si>
  <si>
    <t>Biology/Biotechnology Technologies/Technicians.</t>
  </si>
  <si>
    <t>Biology/Biotechnology Technology/Technician.</t>
  </si>
  <si>
    <t>Nuclear and Industrial Radiologic Technologies/Technicians.</t>
  </si>
  <si>
    <t>Industrial Radiologic Technology/Technician.</t>
  </si>
  <si>
    <t>Nuclear/Nuclear Power Technology/Technician.</t>
  </si>
  <si>
    <t>Nuclear and Industrial Radiologic Technologies/Technicians, Other.</t>
  </si>
  <si>
    <t>Physical Science Technologies/Technicians.</t>
  </si>
  <si>
    <t>Chemical Technology/Technician.</t>
  </si>
  <si>
    <t>Chemical Process Technology.</t>
  </si>
  <si>
    <t>Physical Science Technologies/Technicians, Other.</t>
  </si>
  <si>
    <t>Science Technologies/Technicians, Other.</t>
  </si>
  <si>
    <t>PSYCHOLOGY.</t>
  </si>
  <si>
    <t>Psychology, General.</t>
  </si>
  <si>
    <t>Research and Experimental Psychology.</t>
  </si>
  <si>
    <t>Cognitive Psychology and Psycholinguistics.</t>
  </si>
  <si>
    <t>Comparative Psychology.</t>
  </si>
  <si>
    <t>Developmental and Child Psychology.</t>
  </si>
  <si>
    <t>Experimental Psychology.</t>
  </si>
  <si>
    <t>Personality Psychology.</t>
  </si>
  <si>
    <t>Behavioral Neuroscience.</t>
  </si>
  <si>
    <t>Social Psychology.</t>
  </si>
  <si>
    <t>Psychometrics and Quantitative Psychology.</t>
  </si>
  <si>
    <t>Psychopharmacology.</t>
  </si>
  <si>
    <t>Developmental and Adolescent Psychology.</t>
  </si>
  <si>
    <t>Research and Experimental Psychology, Other.</t>
  </si>
  <si>
    <t>Clinical, Counseling and Applied Psychology.</t>
  </si>
  <si>
    <t>Clinical Psychology.</t>
  </si>
  <si>
    <t>Community Psychology.</t>
  </si>
  <si>
    <t>Counseling Psychology.</t>
  </si>
  <si>
    <t>Industrial and Organizational Psychology.</t>
  </si>
  <si>
    <t>School Psychology.</t>
  </si>
  <si>
    <t>Educational Psychology.</t>
  </si>
  <si>
    <t>Clinical Child Psychology.</t>
  </si>
  <si>
    <t>Environmental Psychology.</t>
  </si>
  <si>
    <t>Geropsychology.</t>
  </si>
  <si>
    <t>Health/Medical Psychology.</t>
  </si>
  <si>
    <t>Family Psychology.</t>
  </si>
  <si>
    <t>Forensic Psychology.</t>
  </si>
  <si>
    <t>Applied Psychology.</t>
  </si>
  <si>
    <t>Applied Behavior Analysis.</t>
  </si>
  <si>
    <t>Performance and Sport Psychology.</t>
  </si>
  <si>
    <t>Somatic Psychology.</t>
  </si>
  <si>
    <t>Transpersonal/Spiritual Psychology.</t>
  </si>
  <si>
    <t>Clinical, Counseling and Applied Psychology, Other.</t>
  </si>
  <si>
    <t>Psychology, Other.</t>
  </si>
  <si>
    <t>HOMELAND SECURITY, LAW ENFORCEMENT, FIREFIGHTING AND RELATED PROTECTIVE SERVICES.</t>
  </si>
  <si>
    <t>Criminal Justice and Corrections.</t>
  </si>
  <si>
    <t>Criminal Justice and Corrections, General.</t>
  </si>
  <si>
    <t>Corrections.</t>
  </si>
  <si>
    <t>Criminal Justice/Law Enforcement Administration.</t>
  </si>
  <si>
    <t>Criminal Justice/Safety Studies.</t>
  </si>
  <si>
    <t>Forensic Science and Technology.</t>
  </si>
  <si>
    <t>Criminal Justice/Police Science.</t>
  </si>
  <si>
    <t>Security and Loss Prevention Services.</t>
  </si>
  <si>
    <t>Juvenile Corrections.</t>
  </si>
  <si>
    <t>Criminalistics and Criminal Science.</t>
  </si>
  <si>
    <t>Securities Services Administration/Management.</t>
  </si>
  <si>
    <t>Corrections Administration.</t>
  </si>
  <si>
    <t>Law Enforcement Investigation and Interviewing.</t>
  </si>
  <si>
    <t>Law Enforcement Record-Keeping and Evidence Management.</t>
  </si>
  <si>
    <t>Cyber/Computer Forensics and Counterterrorism.</t>
  </si>
  <si>
    <t>Financial Forensics and Fraud Investigation.</t>
  </si>
  <si>
    <t>Law Enforcement Intelligence Analysis.</t>
  </si>
  <si>
    <t>Critical Incident Response/Special Police Operations.</t>
  </si>
  <si>
    <t>Protective Services Operations.</t>
  </si>
  <si>
    <t>Suspension and Debarment Investigation.</t>
  </si>
  <si>
    <t>Maritime Law Enforcement.</t>
  </si>
  <si>
    <t>Cultural/Archaelogical Resources Protection.</t>
  </si>
  <si>
    <t>Corrections and Criminal Justice, Other.</t>
  </si>
  <si>
    <t>Fire Protection.</t>
  </si>
  <si>
    <t>Fire Prevention and Safety Technology/Technician.</t>
  </si>
  <si>
    <t>Fire Services Administration.</t>
  </si>
  <si>
    <t>Fire Science/Fire-fighting.</t>
  </si>
  <si>
    <t>Fire Systems Technology.</t>
  </si>
  <si>
    <t>Fire/Arson Investigation and Prevention.</t>
  </si>
  <si>
    <t>Wildland/Forest Firefighting and Investigation.</t>
  </si>
  <si>
    <t>Fire Protection, Other.</t>
  </si>
  <si>
    <t>Homeland Security.</t>
  </si>
  <si>
    <t>Crisis/Emergency/Disaster Management.</t>
  </si>
  <si>
    <t>Critical Infrastructure Protection.</t>
  </si>
  <si>
    <t>Terrorism and Counterterrorism Operations.</t>
  </si>
  <si>
    <t>Homeland Security, Other.</t>
  </si>
  <si>
    <t>Security Science and Technology.</t>
  </si>
  <si>
    <t>Security Science and Technology, General.</t>
  </si>
  <si>
    <t>Cybersecurity Defense Strategy/Policy.</t>
  </si>
  <si>
    <t>Geospatial Intelligence.</t>
  </si>
  <si>
    <t>Security Science and Technology, Other.</t>
  </si>
  <si>
    <t>Homeland Security, Law Enforcement, Firefighting and Related Protective Services, Other.</t>
  </si>
  <si>
    <t>PUBLIC ADMINISTRATION AND SOCIAL SERVICE PROFESSIONS.</t>
  </si>
  <si>
    <t>Human Services, General.</t>
  </si>
  <si>
    <t>Community Organization and Advocacy.</t>
  </si>
  <si>
    <t>Public Administration.</t>
  </si>
  <si>
    <t>Public Works Management.</t>
  </si>
  <si>
    <t>Transportation and Infrastructure Planning/Studies.</t>
  </si>
  <si>
    <t>Public Administration, Other.</t>
  </si>
  <si>
    <t>Public Policy Analysis.</t>
  </si>
  <si>
    <t>Public Policy Analysis, General.</t>
  </si>
  <si>
    <t>Education Policy Analysis.</t>
  </si>
  <si>
    <t>Health Policy Analysis.</t>
  </si>
  <si>
    <t>International Policy Analysis.</t>
  </si>
  <si>
    <t>Public Policy Analysis, Other.</t>
  </si>
  <si>
    <t>Social Work.</t>
  </si>
  <si>
    <t>Youth Services/Administration.</t>
  </si>
  <si>
    <t>Forensic Social Work.</t>
  </si>
  <si>
    <t>Social Work, Other.</t>
  </si>
  <si>
    <t>Public Administration and Social Service Professions, Other.</t>
  </si>
  <si>
    <t>SOCIAL SCIENCES.</t>
  </si>
  <si>
    <t>Social Sciences, General.</t>
  </si>
  <si>
    <t>Research Methodology and Quantitative Methods.</t>
  </si>
  <si>
    <t>Survey Research/Methodology.</t>
  </si>
  <si>
    <t>Social Sciences, Other.</t>
  </si>
  <si>
    <t>Anthropology.</t>
  </si>
  <si>
    <t>Anthropology, General.</t>
  </si>
  <si>
    <t>Physical and Biological Anthropology.</t>
  </si>
  <si>
    <t>Medical Anthropology.</t>
  </si>
  <si>
    <t>Cultural Anthropology.</t>
  </si>
  <si>
    <t>Forensic Anthropology.</t>
  </si>
  <si>
    <t>Anthropology, Other.</t>
  </si>
  <si>
    <t>Archeology.</t>
  </si>
  <si>
    <t>Criminology.</t>
  </si>
  <si>
    <t>Demography.</t>
  </si>
  <si>
    <t>Demography and Population Studies.</t>
  </si>
  <si>
    <t>Applied Demography.</t>
  </si>
  <si>
    <t>Demography, Other.</t>
  </si>
  <si>
    <t>Economics.</t>
  </si>
  <si>
    <t>Economics, General.</t>
  </si>
  <si>
    <t>Applied Economics.</t>
  </si>
  <si>
    <t>Econometrics and Quantitative Economics.</t>
  </si>
  <si>
    <t>Development Economics and International Development.</t>
  </si>
  <si>
    <t>International Economics.</t>
  </si>
  <si>
    <t>Economics, Other.</t>
  </si>
  <si>
    <t>Geography and Cartography.</t>
  </si>
  <si>
    <t>Geography.</t>
  </si>
  <si>
    <t>Geographic Information Science and Cartography.</t>
  </si>
  <si>
    <t>Geography, Other.</t>
  </si>
  <si>
    <t>International Relations and National Security Studies.</t>
  </si>
  <si>
    <t>International Relations and Affairs.</t>
  </si>
  <si>
    <t>National Security Policy Studies.</t>
  </si>
  <si>
    <t>International Relations and National Security Studies, Other.</t>
  </si>
  <si>
    <t>Political Science and Government.</t>
  </si>
  <si>
    <t>Political Science and Government, General.</t>
  </si>
  <si>
    <t>American Government and Politics (United States).</t>
  </si>
  <si>
    <t>Canadian Government and Politics.</t>
  </si>
  <si>
    <t>Political Economy.</t>
  </si>
  <si>
    <t>Political Science and Government, Other.</t>
  </si>
  <si>
    <t>Sociology.</t>
  </si>
  <si>
    <t>Sociology, General.</t>
  </si>
  <si>
    <t>Applied/Public Sociology.</t>
  </si>
  <si>
    <t>Rural Sociology.</t>
  </si>
  <si>
    <t>Sociology, Other.</t>
  </si>
  <si>
    <t>Urban Studies/Affairs.</t>
  </si>
  <si>
    <t>Sociology and Anthropology.</t>
  </si>
  <si>
    <t>Geography and Anthropology.</t>
  </si>
  <si>
    <t>CONSTRUCTION TRADES.</t>
  </si>
  <si>
    <t>Construction Trades, General.</t>
  </si>
  <si>
    <t>Mason/Masonry.</t>
  </si>
  <si>
    <t>Carpenters.</t>
  </si>
  <si>
    <t>Carpentry/Carpenter.</t>
  </si>
  <si>
    <t>Electrical and Power Transmission Installers.</t>
  </si>
  <si>
    <t>Electrical and Power Transmission Installation/Installer, General.</t>
  </si>
  <si>
    <t>Electrician.</t>
  </si>
  <si>
    <t>Lineworker.</t>
  </si>
  <si>
    <t>Electrical and Power Transmission Installers, Other.</t>
  </si>
  <si>
    <t>Building/Construction Finishing, Management, and Inspection.</t>
  </si>
  <si>
    <t>Building/Property Maintenance.</t>
  </si>
  <si>
    <t>Concrete Finishing/Concrete Finisher.</t>
  </si>
  <si>
    <t>Building/Home/Construction Inspection/Inspector.</t>
  </si>
  <si>
    <t>Drywall Installation/Drywaller.</t>
  </si>
  <si>
    <t>Glazier.</t>
  </si>
  <si>
    <t>Painting/Painter and Wall Coverer.</t>
  </si>
  <si>
    <t>Roofer.</t>
  </si>
  <si>
    <t>Metal Building Assembly/Assembler.</t>
  </si>
  <si>
    <t>Building/Construction Site Management/Manager.</t>
  </si>
  <si>
    <t>Carpet, Floor, and Tile Worker.</t>
  </si>
  <si>
    <t>Insulator.</t>
  </si>
  <si>
    <t>Building Construction Technology/Technician.</t>
  </si>
  <si>
    <t>Building/Construction Finishing, Management, and Inspection, Other.</t>
  </si>
  <si>
    <t>Plumbing and Related Water Supply Services.</t>
  </si>
  <si>
    <t>Pipefitting/Pipefitter and Sprinkler Fitter.</t>
  </si>
  <si>
    <t>Plumbing Technology/Plumber.</t>
  </si>
  <si>
    <t>Well Drilling/Driller.</t>
  </si>
  <si>
    <t>Blasting/Blaster.</t>
  </si>
  <si>
    <t>Plumbing and Related Water Supply Services, Other.</t>
  </si>
  <si>
    <t>Construction Trades, Other.</t>
  </si>
  <si>
    <t>MECHANIC AND REPAIR TECHNOLOGIES/TECHNICIANS.</t>
  </si>
  <si>
    <t>Mechanics and Repairers, General.</t>
  </si>
  <si>
    <t>Electrical/Electronics Maintenance and Repair Technologies/Technicians.</t>
  </si>
  <si>
    <t>Electrical/Electronics Equipment Installation and Repair Technology/Technician, General.</t>
  </si>
  <si>
    <t>Business Machine Repair.</t>
  </si>
  <si>
    <t>Communications Systems Installation and Repair Technology/Technician.</t>
  </si>
  <si>
    <t>Computer Installation and Repair Technology/Technician.</t>
  </si>
  <si>
    <t>Industrial Electronics Technology/Technician.</t>
  </si>
  <si>
    <t>Appliance Installation and Repair Technology/Technician.</t>
  </si>
  <si>
    <t>Security System Installation, Repair, and Inspection Technology/Technician.</t>
  </si>
  <si>
    <t>Electrical/Electronics Maintenance and Repair Technologies/Technicians, Other.</t>
  </si>
  <si>
    <t>Heating, Air Conditioning, Ventilation and Refrigeration Maintenance Technology/Technician (HAC, HACR, HVAC, HVACR).</t>
  </si>
  <si>
    <t>Heating, Air Conditioning, Ventilation and Refrigeration Maintenance Technology/Technician.</t>
  </si>
  <si>
    <t>Heavy/Industrial Equipment Maintenance Technologies/Technicians.</t>
  </si>
  <si>
    <t>Heavy Equipment Maintenance Technology/Technician.</t>
  </si>
  <si>
    <t>Industrial Mechanics and Maintenance Technology/Technician.</t>
  </si>
  <si>
    <t>Heavy/Industrial Equipment Maintenance Technologies/Technicians, Other.</t>
  </si>
  <si>
    <t>Precision Systems Maintenance and Repair Technologies/Technicians.</t>
  </si>
  <si>
    <t>Gunsmithing/Gunsmith.</t>
  </si>
  <si>
    <t>Locksmithing and Safe Repair.</t>
  </si>
  <si>
    <t>Musical Instrument Fabrication and Repair.</t>
  </si>
  <si>
    <t>Watchmaking and Jewelrymaking.</t>
  </si>
  <si>
    <t>Parts and Warehousing Operations and Maintenance Technology/Technician.</t>
  </si>
  <si>
    <t>Precision Systems Maintenance and Repair Technologies/Technicians, Other.</t>
  </si>
  <si>
    <t>Vehicle Maintenance and Repair Technologies/Technicians.</t>
  </si>
  <si>
    <t>Vehicle Maintenance and Repair Technology/Technician, General.</t>
  </si>
  <si>
    <t>Autobody/Collision and Repair Technology/Technician.</t>
  </si>
  <si>
    <t>Automobile/Automotive Mechanics Technology/Technician.</t>
  </si>
  <si>
    <t>Diesel Mechanics Technology/Technician.</t>
  </si>
  <si>
    <t>Small Engine Mechanics and Repair Technology/Technician.</t>
  </si>
  <si>
    <t>Airframe Mechanics and Aircraft Maintenance Technology/Technician.</t>
  </si>
  <si>
    <t>Aircraft Powerplant Technology/Technician.</t>
  </si>
  <si>
    <t>Avionics Maintenance Technology/Technician.</t>
  </si>
  <si>
    <t>Bicycle Mechanics and Repair Technology/Technician.</t>
  </si>
  <si>
    <t>Motorcycle Maintenance and Repair Technology/Technician.</t>
  </si>
  <si>
    <t>Vehicle Emissions Inspection and Maintenance Technology/Technician.</t>
  </si>
  <si>
    <t>Medium/Heavy Vehicle and Truck Technology/Technician.</t>
  </si>
  <si>
    <t>Alternative Fuel Vehicle Technology/Technician.</t>
  </si>
  <si>
    <t>Engine Machinist.</t>
  </si>
  <si>
    <t>Marine Maintenance/Fitter and Ship Repair Technology/Technician.</t>
  </si>
  <si>
    <t>High Performance and Custom Engine Technician/Mechanic.</t>
  </si>
  <si>
    <t>Recreation Vehicle (RV) Service Technician.</t>
  </si>
  <si>
    <t>Vehicle Maintenance and Repair Technologies/Technicians, Other.</t>
  </si>
  <si>
    <t>Energy Systems Maintenance and Repair Technologies/Technicians.</t>
  </si>
  <si>
    <t>Energy Systems Installation and Repair Technology/Technician.</t>
  </si>
  <si>
    <t>Solar Energy System Installation and Repair Technology/Technician.</t>
  </si>
  <si>
    <t>Wind Energy System Installation and Repair Technology/Technician.</t>
  </si>
  <si>
    <t>Hydroelectric Energy System Installation and Repair Technology/Technician.</t>
  </si>
  <si>
    <t>Geothermal Energy System Installation and Repair Technology/Technician.</t>
  </si>
  <si>
    <t>Energy Systems Maintenance and Repair Technologies/Technicians, Other.</t>
  </si>
  <si>
    <t>Mechanic and Repair Technologies/Technicians, Other.</t>
  </si>
  <si>
    <t>PRECISION PRODUCTION.</t>
  </si>
  <si>
    <t>Precision Production Trades, General.</t>
  </si>
  <si>
    <t>Leatherworking and Upholstery.</t>
  </si>
  <si>
    <t>Upholstery/Upholsterer.</t>
  </si>
  <si>
    <t>Shoe, Boot and Leather Repair.</t>
  </si>
  <si>
    <t>Leatherworking and Upholstery, Other.</t>
  </si>
  <si>
    <t>Precision Metal Working.</t>
  </si>
  <si>
    <t>Machine Tool Technology/Machinist.</t>
  </si>
  <si>
    <t>Machine Shop Technology/Assistant.</t>
  </si>
  <si>
    <t>Sheet Metal Technology/Sheetworking.</t>
  </si>
  <si>
    <t>Tool and Die Technology/Technician.</t>
  </si>
  <si>
    <t>Welding Technology/Welder.</t>
  </si>
  <si>
    <t>Ironworking/Ironworker.</t>
  </si>
  <si>
    <t>Computer Numerically Controlled (CNC) Machinist Technology/CNC Machinist.</t>
  </si>
  <si>
    <t>Metal Fabricator.</t>
  </si>
  <si>
    <t>Precision Metal Working, Other.</t>
  </si>
  <si>
    <t>Woodworking.</t>
  </si>
  <si>
    <t>Woodworking, General.</t>
  </si>
  <si>
    <t>Furniture Design and Manufacturing.</t>
  </si>
  <si>
    <t>Cabinetmaking and Millwork.</t>
  </si>
  <si>
    <t>Wooden Boatbuilding Technology/Technician.</t>
  </si>
  <si>
    <t>Woodworking, Other.</t>
  </si>
  <si>
    <t>Boilermaking/Boilermaker.</t>
  </si>
  <si>
    <t>Precision Production, Other.</t>
  </si>
  <si>
    <t>TRANSPORTATION AND MATERIALS MOVING.</t>
  </si>
  <si>
    <t>Air Transportation.</t>
  </si>
  <si>
    <t>Aeronautics/Aviation/Aerospace Science and Technology, General.</t>
  </si>
  <si>
    <t>Airline/Commercial/Professional Pilot and Flight Crew.</t>
  </si>
  <si>
    <t>Aviation/Airway Management and Operations.</t>
  </si>
  <si>
    <t>Air Traffic Controller.</t>
  </si>
  <si>
    <t>Airline Flight Attendant.</t>
  </si>
  <si>
    <t>Flight Instructor.</t>
  </si>
  <si>
    <t>Remote Aircraft Pilot.</t>
  </si>
  <si>
    <t>Air Transportation, Other.</t>
  </si>
  <si>
    <t>Ground Transportation.</t>
  </si>
  <si>
    <t>Construction/Heavy Equipment/Earthmoving Equipment Operation.</t>
  </si>
  <si>
    <t>Truck and Bus Driver/Commercial Vehicle Operator and Instructor.</t>
  </si>
  <si>
    <t>Mobil Crane Operator/Operation.</t>
  </si>
  <si>
    <t>Flagging and Traffic Control.</t>
  </si>
  <si>
    <t>Railroad and Railway Transportation.</t>
  </si>
  <si>
    <t>Forklift Operation/Operator.</t>
  </si>
  <si>
    <t>Ground Transportation, Other.</t>
  </si>
  <si>
    <t>Marine Transportation.</t>
  </si>
  <si>
    <t>Commercial Fishing.</t>
  </si>
  <si>
    <t>Diver, Professional and Instructor.</t>
  </si>
  <si>
    <t>Marine Science/Merchant Marine Officer.</t>
  </si>
  <si>
    <t>Marine Transportation, Other.</t>
  </si>
  <si>
    <t>Transportation and Materials Moving, Other.</t>
  </si>
  <si>
    <t>VISUAL AND PERFORMING ARTS.</t>
  </si>
  <si>
    <t>Visual and Performing Arts, General.</t>
  </si>
  <si>
    <t>Digital Arts.</t>
  </si>
  <si>
    <t>Crafts/Craft Design, Folk Art and Artisanry.</t>
  </si>
  <si>
    <t>Dance.</t>
  </si>
  <si>
    <t>Dance, General.</t>
  </si>
  <si>
    <t>Ballet.</t>
  </si>
  <si>
    <t>Dance, Other.</t>
  </si>
  <si>
    <t>Design and Applied Arts.</t>
  </si>
  <si>
    <t>Design and Visual Communications, General.</t>
  </si>
  <si>
    <t>Commercial and Advertising Art.</t>
  </si>
  <si>
    <t>Industrial and Product Design.</t>
  </si>
  <si>
    <t>Commercial Photography.</t>
  </si>
  <si>
    <t>Fashion/Apparel Design.</t>
  </si>
  <si>
    <t>Interior Design.</t>
  </si>
  <si>
    <t>Graphic Design.</t>
  </si>
  <si>
    <t>Illustration.</t>
  </si>
  <si>
    <t>Game and Interactive Media Design.</t>
  </si>
  <si>
    <t>Design and Applied Arts, Other.</t>
  </si>
  <si>
    <t>Drama/Theatre Arts and Stagecraft.</t>
  </si>
  <si>
    <t>Drama and Dramatics/Theatre Arts, General.</t>
  </si>
  <si>
    <t>Technical Theatre/Theatre Design and Technology.</t>
  </si>
  <si>
    <t>Playwriting and Screenwriting.</t>
  </si>
  <si>
    <t>Theatre Literature, History and Criticism.</t>
  </si>
  <si>
    <t>Acting.</t>
  </si>
  <si>
    <t>Directing and Theatrical Production.</t>
  </si>
  <si>
    <t>Musical Theatre.</t>
  </si>
  <si>
    <t>Costume Design.</t>
  </si>
  <si>
    <t>Comedy Writing and Performance.</t>
  </si>
  <si>
    <t>Theatre and Dance.</t>
  </si>
  <si>
    <t>Dramatic/Theatre Arts and Stagecraft, Other.</t>
  </si>
  <si>
    <t>Film/Video and Photographic Arts.</t>
  </si>
  <si>
    <t>Film/Cinema/Media Studies.</t>
  </si>
  <si>
    <t>Cinematography and Film/Video Production.</t>
  </si>
  <si>
    <t>Photography.</t>
  </si>
  <si>
    <t>Documentary Production.</t>
  </si>
  <si>
    <t>Film/Video and Photographic Arts, Other.</t>
  </si>
  <si>
    <t>Fine and Studio Arts.</t>
  </si>
  <si>
    <t>Art/Art Studies, General.</t>
  </si>
  <si>
    <t>Fine/Studio Arts, General.</t>
  </si>
  <si>
    <t>Art History, Criticism and Conservation.</t>
  </si>
  <si>
    <t>Drawing.</t>
  </si>
  <si>
    <t>Intermedia/Multimedia.</t>
  </si>
  <si>
    <t>Painting.</t>
  </si>
  <si>
    <t>Sculpture.</t>
  </si>
  <si>
    <t>Printmaking.</t>
  </si>
  <si>
    <t>Ceramic Arts and Ceramics.</t>
  </si>
  <si>
    <t>Fiber, Textile and Weaving Arts.</t>
  </si>
  <si>
    <t>Jewelry Arts.</t>
  </si>
  <si>
    <t>Metal Arts.</t>
  </si>
  <si>
    <t>Fine Arts and Art Studies, Other.</t>
  </si>
  <si>
    <t>Music, General.</t>
  </si>
  <si>
    <t>Music History, Literature, and Theory.</t>
  </si>
  <si>
    <t>Music Performance, General.</t>
  </si>
  <si>
    <t>Music Theory and Composition.</t>
  </si>
  <si>
    <t>Musicology and Ethnomusicology.</t>
  </si>
  <si>
    <t>Conducting.</t>
  </si>
  <si>
    <t>Keyboard Instruments.</t>
  </si>
  <si>
    <t>Voice and Opera.</t>
  </si>
  <si>
    <t>Jazz/Jazz Studies.</t>
  </si>
  <si>
    <t>Stringed Instruments.</t>
  </si>
  <si>
    <t>Music Pedagogy.</t>
  </si>
  <si>
    <t>Music Technology.</t>
  </si>
  <si>
    <t>Brass Instruments.</t>
  </si>
  <si>
    <t>Woodwind Instruments.</t>
  </si>
  <si>
    <t>Percussion Instruments.</t>
  </si>
  <si>
    <t>Sound Arts.</t>
  </si>
  <si>
    <t>Music, Other.</t>
  </si>
  <si>
    <t>Arts, Entertainment, and Media Management.</t>
  </si>
  <si>
    <t>Arts, Entertainment, and Media Management, General.</t>
  </si>
  <si>
    <t>Fine and Studio Arts Management.</t>
  </si>
  <si>
    <t>Music Management.</t>
  </si>
  <si>
    <t>Theatre/Theatre Arts Management.</t>
  </si>
  <si>
    <t>Arts, Entertainment, and Media Management, Other.</t>
  </si>
  <si>
    <t>Community/Environmental/Socially-Engaged Art.</t>
  </si>
  <si>
    <t>Visual and Performing Arts, Other.</t>
  </si>
  <si>
    <t>HEALTH PROFESSIONS AND RELATED PROGRAMS.</t>
  </si>
  <si>
    <t>Health Services/Allied Health/Health Sciences, General.</t>
  </si>
  <si>
    <t>Health and Wellness, General.</t>
  </si>
  <si>
    <t>Chiropractic.</t>
  </si>
  <si>
    <t>Communication Disorders Sciences and Services.</t>
  </si>
  <si>
    <t>Communication Sciences and Disorders, General.</t>
  </si>
  <si>
    <t>Audiology/Audiologist.</t>
  </si>
  <si>
    <t>Speech-Language Pathology/Pathologist.</t>
  </si>
  <si>
    <t>Audiology/Audiologist and Speech-Language Pathology/Pathologist.</t>
  </si>
  <si>
    <t>Communication Disorders Sciences and Services, Other.</t>
  </si>
  <si>
    <t>Dentistry.</t>
  </si>
  <si>
    <t>Advanced/Graduate Dentistry and Oral Sciences.</t>
  </si>
  <si>
    <t>Dental Clinical Sciences, General.</t>
  </si>
  <si>
    <t>Advanced General Dentistry.</t>
  </si>
  <si>
    <t>Oral Biology and Oral and Maxillofacial Pathology.</t>
  </si>
  <si>
    <t>Dental Public Health and Education.</t>
  </si>
  <si>
    <t>Dental Materials.</t>
  </si>
  <si>
    <t>Endodontics/Endodontology.</t>
  </si>
  <si>
    <t>Oral/Maxillofacial Surgery.</t>
  </si>
  <si>
    <t>Orthodontics/Orthodontology.</t>
  </si>
  <si>
    <t>Pediatric Dentistry/Pedodontics.</t>
  </si>
  <si>
    <t>Periodontics/Periodontology.</t>
  </si>
  <si>
    <t>Prosthodontics/Prosthodontology.</t>
  </si>
  <si>
    <t>Digital Dentistry.</t>
  </si>
  <si>
    <t>Geriatric Dentistry.</t>
  </si>
  <si>
    <t>Implantology/Implant Dentistry.</t>
  </si>
  <si>
    <t>Advanced/Graduate Dentistry and Oral Sciences, Other.</t>
  </si>
  <si>
    <t>Dental Support Services and Allied Professions.</t>
  </si>
  <si>
    <t>Dental Assisting/Assistant.</t>
  </si>
  <si>
    <t>Dental Hygiene/Hygienist.</t>
  </si>
  <si>
    <t>Dental Laboratory Technology/Technician.</t>
  </si>
  <si>
    <t>Dental Services and Allied Professions, Other.</t>
  </si>
  <si>
    <t>Health and Medical Administrative Services.</t>
  </si>
  <si>
    <t>Health/Health Care Administration/Management.</t>
  </si>
  <si>
    <t>Hospital and Health Care Facilities Administration/Management.</t>
  </si>
  <si>
    <t>Health Unit Coordinator/Ward Clerk.</t>
  </si>
  <si>
    <t>Health Unit Manager/Ward Supervisor.</t>
  </si>
  <si>
    <t>Medical Office Management/Administration.</t>
  </si>
  <si>
    <t>Health Information/Medical Records Administration/Administrator.</t>
  </si>
  <si>
    <t>Health Information/Medical Records Technology/Technician.</t>
  </si>
  <si>
    <t>Medical Transcription/Transcriptionist.</t>
  </si>
  <si>
    <t>Medical Office Computer Specialist/Assistant.</t>
  </si>
  <si>
    <t>Medical Office Assistant/Specialist.</t>
  </si>
  <si>
    <t>Medical/Health Management and Clinical Assistant/Specialist.</t>
  </si>
  <si>
    <t>Medical Reception/Receptionist.</t>
  </si>
  <si>
    <t>Medical Insurance Coding Specialist/Coder.</t>
  </si>
  <si>
    <t>Medical Insurance Specialist/Medical Biller.</t>
  </si>
  <si>
    <t>Health/Medical Claims Examiner.</t>
  </si>
  <si>
    <t>Medical Administrative/Executive Assistant and Medical Secretary.</t>
  </si>
  <si>
    <t>Medical Staff Services Technology/Technician.</t>
  </si>
  <si>
    <t>Long Term Care Administration/Management.</t>
  </si>
  <si>
    <t>Clinical Research Coordinator.</t>
  </si>
  <si>
    <t>Regulatory Science/Affairs.</t>
  </si>
  <si>
    <t>Disease Registry Data Management.</t>
  </si>
  <si>
    <t>Healthcare Innovation.</t>
  </si>
  <si>
    <t>Healthcare Information Privacy Assurance and Security.</t>
  </si>
  <si>
    <t>Health and Medical Administrative Services, Other.</t>
  </si>
  <si>
    <t>Allied Health and Medical Assisting Services.</t>
  </si>
  <si>
    <t>Medical/Clinical Assistant.</t>
  </si>
  <si>
    <t>Clinical/Medical Laboratory Assistant.</t>
  </si>
  <si>
    <t>Occupational Therapist Assistant.</t>
  </si>
  <si>
    <t>Pharmacy Technician/Assistant.</t>
  </si>
  <si>
    <t>Physical Therapy Assistant.</t>
  </si>
  <si>
    <t>Anesthesiologist Assistant.</t>
  </si>
  <si>
    <t>Emergency Care Attendant (EMT Ambulance).</t>
  </si>
  <si>
    <t>Pathology/Pathologist Assistant.</t>
  </si>
  <si>
    <t>Respiratory Therapy Technician/Assistant.</t>
  </si>
  <si>
    <t>Chiropractic Technician/Assistant.</t>
  </si>
  <si>
    <t>Radiologist Assistant.</t>
  </si>
  <si>
    <t>Lactation Consultant.</t>
  </si>
  <si>
    <t>Speech-Language Pathology Assistant.</t>
  </si>
  <si>
    <t>Allied Health and Medical Assisting Services, Other.</t>
  </si>
  <si>
    <t>Allied Health Diagnostic, Intervention, and Treatment Professions.</t>
  </si>
  <si>
    <t>Cardiovascular Technology/Technologist.</t>
  </si>
  <si>
    <t>Electrocardiograph Technology/Technician.</t>
  </si>
  <si>
    <t>Electroneurodiagnostic/Electroencephalographic Technology/Technologist.</t>
  </si>
  <si>
    <t>Emergency Medical Technology/Technician (EMT Paramedic).</t>
  </si>
  <si>
    <t>Nuclear Medical Technology/Technologist.</t>
  </si>
  <si>
    <t>Perfusion Technology/Perfusionist.</t>
  </si>
  <si>
    <t>Medical Radiologic Technology/Science - Radiation Therapist.</t>
  </si>
  <si>
    <t>Respiratory Care Therapy/Therapist.</t>
  </si>
  <si>
    <t>Surgical Technology/Technologist.</t>
  </si>
  <si>
    <t>Diagnostic Medical Sonography/Sonographer and Ultrasound Technician.</t>
  </si>
  <si>
    <t>Radiologic Technology/Science - Radiographer.</t>
  </si>
  <si>
    <t>Physician Associate/Assistant.</t>
  </si>
  <si>
    <t>Athletic Training/Trainer.</t>
  </si>
  <si>
    <t>Gene/Genetic Therapy.</t>
  </si>
  <si>
    <t>Cardiopulmonary Technology/Technologist.</t>
  </si>
  <si>
    <t>Radiation Protection/Health Physics Technician.</t>
  </si>
  <si>
    <t>Polysomnography.</t>
  </si>
  <si>
    <t>Hearing Instrument Specialist.</t>
  </si>
  <si>
    <t>Mammography Technology/Technician.</t>
  </si>
  <si>
    <t>Magnetic Resonance Imaging (MRI) Technology/Technician.</t>
  </si>
  <si>
    <t>Hyperbaric Medicine Technology/Technician.</t>
  </si>
  <si>
    <t>Intraoperative Neuromonitoring Technology/Technician.</t>
  </si>
  <si>
    <t>Orthopedic Technology/Technician.</t>
  </si>
  <si>
    <t>Allied Health Diagnostic, Intervention, and Treatment Professions, Other.</t>
  </si>
  <si>
    <t>Clinical/Medical Laboratory Science/Research and Allied Professions.</t>
  </si>
  <si>
    <t>Blood Bank Technology Specialist.</t>
  </si>
  <si>
    <t>Cytotechnology/Cytotechnologist.</t>
  </si>
  <si>
    <t>Hematology Technology/Technician.</t>
  </si>
  <si>
    <t>Clinical/Medical Laboratory Technician.</t>
  </si>
  <si>
    <t>Clinical Laboratory Science/Medical Technology/Technologist.</t>
  </si>
  <si>
    <t>Ophthalmic Laboratory Technology/Technician.</t>
  </si>
  <si>
    <t>Histologic Technology/Histotechnologist.</t>
  </si>
  <si>
    <t>Histologic Technician.</t>
  </si>
  <si>
    <t>Phlebotomy Technician/Phlebotomist.</t>
  </si>
  <si>
    <t>Cytogenetics/Genetics/Clinical Genetics Technology/Technologist.</t>
  </si>
  <si>
    <t>Renal/Dialysis Technologist/Technician.</t>
  </si>
  <si>
    <t>Sterile Processing Technology/Technician.</t>
  </si>
  <si>
    <t>Clinical/Medical Laboratory Science and Allied Professions, Other.</t>
  </si>
  <si>
    <t>Health/Medical Preparatory Programs.</t>
  </si>
  <si>
    <t>Pre-Dentistry Studies.</t>
  </si>
  <si>
    <t>Pre-Medicine/Pre-Medical Studies.</t>
  </si>
  <si>
    <t>Pre-Pharmacy Studies.</t>
  </si>
  <si>
    <t>Pre-Nursing Studies.</t>
  </si>
  <si>
    <t>Pre-Chiropractic Studies.</t>
  </si>
  <si>
    <t>Pre-Occupational Therapy Studies.</t>
  </si>
  <si>
    <t>Pre-Optometry Studies.</t>
  </si>
  <si>
    <t>Pre-Physical Therapy Studies.</t>
  </si>
  <si>
    <t>Pre-Art Therapy.</t>
  </si>
  <si>
    <t>Pre-Physician Assistant.</t>
  </si>
  <si>
    <t>Health/Medical Preparatory Programs, Other.</t>
  </si>
  <si>
    <t>Medicine.</t>
  </si>
  <si>
    <t>Osteopathic Medicine/Osteopathy.</t>
  </si>
  <si>
    <t>Podiatric Medicine/Podiatry.</t>
  </si>
  <si>
    <t>Medicine, Other.</t>
  </si>
  <si>
    <t>Medical Clinical Sciences/Graduate Medical Studies.</t>
  </si>
  <si>
    <t>Medical Science/Scientist.</t>
  </si>
  <si>
    <t>Clinical and Translational Science.</t>
  </si>
  <si>
    <t>Pain Management.</t>
  </si>
  <si>
    <t>Temporomandibular Disorders and Orofacial Pain.</t>
  </si>
  <si>
    <t>Tropical Medicine.</t>
  </si>
  <si>
    <t>Medical Clinical Sciences/Graduate Medical Studies, Other.</t>
  </si>
  <si>
    <t>Mental and Social Health Services and Allied Professions.</t>
  </si>
  <si>
    <t>Substance Abuse/Addiction Counseling.</t>
  </si>
  <si>
    <t>Psychiatric/Mental Health Services Technician.</t>
  </si>
  <si>
    <t>Clinical/Medical Social Work.</t>
  </si>
  <si>
    <t>Community Health Services/Liaison/Counseling.</t>
  </si>
  <si>
    <t>Marriage and Family Therapy/Counseling.</t>
  </si>
  <si>
    <t>Clinical Pastoral Counseling/Patient Counseling.</t>
  </si>
  <si>
    <t>Psychoanalysis and Psychotherapy.</t>
  </si>
  <si>
    <t>Mental Health Counseling/Counselor.</t>
  </si>
  <si>
    <t>Genetic Counseling/Counselor.</t>
  </si>
  <si>
    <t>Infant/Toddler Mental Health Services.</t>
  </si>
  <si>
    <t>Medical Family Therapy/Therapist.</t>
  </si>
  <si>
    <t>Hospice and Palliative Care.</t>
  </si>
  <si>
    <t>Trauma Counseling.</t>
  </si>
  <si>
    <t>Mental and Social Health Services and Allied Professions, Other.</t>
  </si>
  <si>
    <t>Optometry.</t>
  </si>
  <si>
    <t>Ophthalmic and Optometric Support Services and Allied Professions.</t>
  </si>
  <si>
    <t>Opticianry/Ophthalmic Dispensing Optician.</t>
  </si>
  <si>
    <t>Optometric Technician/Assistant.</t>
  </si>
  <si>
    <t>Ophthalmic Technician/Technologist.</t>
  </si>
  <si>
    <t>Orthoptics/Orthoptist.</t>
  </si>
  <si>
    <t>Ophthalmic and Optometric Support Services and Allied Professions, Other.</t>
  </si>
  <si>
    <t>Pharmacy, Pharmaceutical Sciences, and Administration.</t>
  </si>
  <si>
    <t>Pharmacy.</t>
  </si>
  <si>
    <t>Pharmacy Administration and Pharmacy Policy and Regulatory Affairs.</t>
  </si>
  <si>
    <t>Pharmaceutics and Drug Design.</t>
  </si>
  <si>
    <t>Medicinal and Pharmaceutical Chemistry.</t>
  </si>
  <si>
    <t>Natural Products Chemistry and Pharmacognosy.</t>
  </si>
  <si>
    <t>Clinical and Industrial Drug Development.</t>
  </si>
  <si>
    <t>Pharmacoeconomics/Pharmaceutical Economics.</t>
  </si>
  <si>
    <t>Clinical, Hospital, and Managed Care Pharmacy.</t>
  </si>
  <si>
    <t>Industrial and Physical Pharmacy and Cosmetic Sciences.</t>
  </si>
  <si>
    <t>Pharmaceutical Sciences.</t>
  </si>
  <si>
    <t>Pharmaceutical Marketing and Management.</t>
  </si>
  <si>
    <t>Pharmacy, Pharmaceutical Sciences, and Administration, Other.</t>
  </si>
  <si>
    <t>Public Health.</t>
  </si>
  <si>
    <t>Public Health, General.</t>
  </si>
  <si>
    <t>Environmental Health.</t>
  </si>
  <si>
    <t>Health/Medical  Physics.</t>
  </si>
  <si>
    <t>Occupational Health and Industrial Hygiene.</t>
  </si>
  <si>
    <t>Public Health Education and Promotion.</t>
  </si>
  <si>
    <t>Community Health and Preventive Medicine.</t>
  </si>
  <si>
    <t>Maternal and Child Health.</t>
  </si>
  <si>
    <t>International Public Health/International Health.</t>
  </si>
  <si>
    <t>Health Services Administration.</t>
  </si>
  <si>
    <t>Behavioral Aspects of Health.</t>
  </si>
  <si>
    <t>Patient Safety and Healthcare Quality.</t>
  </si>
  <si>
    <t>Public Health Genetics.</t>
  </si>
  <si>
    <t>Public Health, Other.</t>
  </si>
  <si>
    <t>Rehabilitation and Therapeutic Professions.</t>
  </si>
  <si>
    <t>Rehabilitation and Therapeutic Professions, General.</t>
  </si>
  <si>
    <t>Art Therapy/Therapist.</t>
  </si>
  <si>
    <t>Dance Therapy/Therapist.</t>
  </si>
  <si>
    <t>Music Therapy/Therapist.</t>
  </si>
  <si>
    <t>Occupational Therapy/Therapist.</t>
  </si>
  <si>
    <t>Orthotist/Prosthetist.</t>
  </si>
  <si>
    <t>Physical Therapy/Therapist.</t>
  </si>
  <si>
    <t>Therapeutic Recreation/Recreational Therapy.</t>
  </si>
  <si>
    <t>Vocational Rehabilitation Counseling/Counselor.</t>
  </si>
  <si>
    <t>Kinesiotherapy/Kinesiotherapist.</t>
  </si>
  <si>
    <t>Assistive/Augmentative Technology and Rehabilitation Engineering.</t>
  </si>
  <si>
    <t>Animal-Assisted Therapy.</t>
  </si>
  <si>
    <t>Rehabilitation Science.</t>
  </si>
  <si>
    <t>Drama Therapy/Therapist.</t>
  </si>
  <si>
    <t>Horticulture Therapy/Therapist.</t>
  </si>
  <si>
    <t>Play Therapy/Therapist.</t>
  </si>
  <si>
    <t>Rehabilitation and Therapeutic Professions, Other.</t>
  </si>
  <si>
    <t>Health Aides/Attendants/Orderlies.</t>
  </si>
  <si>
    <t>Health Aide.</t>
  </si>
  <si>
    <t>Home Health Aide/Home Attendant.</t>
  </si>
  <si>
    <t>Medication Aide.</t>
  </si>
  <si>
    <t>Rehabilitation Aide.</t>
  </si>
  <si>
    <t>Physical Therapy Technician/Aide.</t>
  </si>
  <si>
    <t>Health Aides/Attendants/Orderlies, Other.</t>
  </si>
  <si>
    <t>Medical Illustration and Informatics.</t>
  </si>
  <si>
    <t>Medical Illustration/Medical Illustrator.</t>
  </si>
  <si>
    <t>Medical Informatics.</t>
  </si>
  <si>
    <t>Medical Illustration and Informatics, Other.</t>
  </si>
  <si>
    <t>Dietetics and Clinical Nutrition Services.</t>
  </si>
  <si>
    <t>Dietetics/Dietitian.</t>
  </si>
  <si>
    <t>Clinical Nutrition/Nutritionist.</t>
  </si>
  <si>
    <t>Dietetic Technician.</t>
  </si>
  <si>
    <t>Dietitian Assistant.</t>
  </si>
  <si>
    <t>Dietetics and Clinical Nutrition Services, Other.</t>
  </si>
  <si>
    <t>Health Professions Education, Ethics, and Humanities.</t>
  </si>
  <si>
    <t>Bioethics/Medical Ethics.</t>
  </si>
  <si>
    <t>Health Professions Education.</t>
  </si>
  <si>
    <t>Nursing Education.</t>
  </si>
  <si>
    <t>Medical/Health Humanities.</t>
  </si>
  <si>
    <t>History of Medicine.</t>
  </si>
  <si>
    <t>Arts in Medicine/Health.</t>
  </si>
  <si>
    <t>Health Professions Education, Ethics, and Humanities, Other.</t>
  </si>
  <si>
    <t>Alternative and Complementary Medicine and Medical Systems.</t>
  </si>
  <si>
    <t>Alternative and Complementary Medicine and Medical Systems, General.</t>
  </si>
  <si>
    <t>Acupuncture and Oriental Medicine.</t>
  </si>
  <si>
    <t>Traditional Chinese Medicine and Chinese Herbology.</t>
  </si>
  <si>
    <t>Naturopathic Medicine/Naturopathy.</t>
  </si>
  <si>
    <t>Homeopathic Medicine/Homeopathy.</t>
  </si>
  <si>
    <t>Ayurvedic Medicine/Ayurveda.</t>
  </si>
  <si>
    <t>Holistic/Integrative Health.</t>
  </si>
  <si>
    <t>Alternative and Complementary Medicine and Medical Systems, Other.</t>
  </si>
  <si>
    <t>Alternative and Complementary Medical Support Services.</t>
  </si>
  <si>
    <t>Direct Entry Midwifery.</t>
  </si>
  <si>
    <t>Alternative and Complementary Medical Support Services, Other.</t>
  </si>
  <si>
    <t>Somatic Bodywork and Related Therapeutic Services.</t>
  </si>
  <si>
    <t>Massage Therapy/Therapeutic Massage.</t>
  </si>
  <si>
    <t>Asian Bodywork Therapy.</t>
  </si>
  <si>
    <t>Somatic Bodywork.</t>
  </si>
  <si>
    <t>Somatic Bodywork and Related Therapeutic Services, Other.</t>
  </si>
  <si>
    <t>Movement and Mind-Body Therapies and Education.</t>
  </si>
  <si>
    <t>Movement Therapy and Movement Education.</t>
  </si>
  <si>
    <t>Yoga Teacher Training/Yoga Therapy.</t>
  </si>
  <si>
    <t>Hypnotherapy/Hypnotherapist.</t>
  </si>
  <si>
    <t>Movement and Mind-Body Therapies and Education, Other.</t>
  </si>
  <si>
    <t>Energy and Biologically Based Therapies.</t>
  </si>
  <si>
    <t>Aromatherapy.</t>
  </si>
  <si>
    <t>Herbalism/Herbalist.</t>
  </si>
  <si>
    <t>Polarity Therapy.</t>
  </si>
  <si>
    <t>Reiki.</t>
  </si>
  <si>
    <t>Energy and Biologically Based Therapies, Other.</t>
  </si>
  <si>
    <t>Registered Nursing, Nursing Administration, Nursing Research and Clinical Nursing.</t>
  </si>
  <si>
    <t>Registered Nursing/Registered Nurse.</t>
  </si>
  <si>
    <t>Nursing Administration.</t>
  </si>
  <si>
    <t>Adult Health Nurse/Nursing.</t>
  </si>
  <si>
    <t>Nurse Anesthetist.</t>
  </si>
  <si>
    <t>Family Practice Nurse/Nursing.</t>
  </si>
  <si>
    <t>Maternal/Child Health and Neonatal Nurse/Nursing.</t>
  </si>
  <si>
    <t>Nurse Midwife/Nursing Midwifery.</t>
  </si>
  <si>
    <t>Nursing Science.</t>
  </si>
  <si>
    <t>Pediatric Nurse/Nursing.</t>
  </si>
  <si>
    <t>Psychiatric/Mental Health Nurse/Nursing.</t>
  </si>
  <si>
    <t>Public Health/Community Nurse/Nursing.</t>
  </si>
  <si>
    <t>Perioperative/Operating Room and Surgical Nurse/Nursing.</t>
  </si>
  <si>
    <t>Clinical Nurse Specialist.</t>
  </si>
  <si>
    <t>Critical Care Nursing.</t>
  </si>
  <si>
    <t>Occupational and Environmental Health Nursing.</t>
  </si>
  <si>
    <t>Emergency Room/Trauma Nursing.</t>
  </si>
  <si>
    <t>Nursing Practice.</t>
  </si>
  <si>
    <t>Palliative Care Nursing.</t>
  </si>
  <si>
    <t>Clinical Nurse Leader.</t>
  </si>
  <si>
    <t>Geriatric Nurse/Nursing.</t>
  </si>
  <si>
    <t>Women's Health Nurse/Nursing.</t>
  </si>
  <si>
    <t>Forensic Nursing.</t>
  </si>
  <si>
    <t>Registered Nursing, Nursing Administration, Nursing Research and Clinical Nursing, Other.</t>
  </si>
  <si>
    <t>Practical Nursing, Vocational Nursing and Nursing Assistants.</t>
  </si>
  <si>
    <t>Licensed Practical/Vocational Nurse Training.</t>
  </si>
  <si>
    <t>Nursing Assistant/Aide and Patient Care Assistant/Aide.</t>
  </si>
  <si>
    <t>Practical Nursing, Vocational Nursing and Nursing Assistants, Other.</t>
  </si>
  <si>
    <t>Health Professions and Related Clinical Sciences, Other.</t>
  </si>
  <si>
    <t>BUSINESS, MANAGEMENT, MARKETING, AND RELATED SUPPORT SERVICES.</t>
  </si>
  <si>
    <t>Business/Commerce, General.</t>
  </si>
  <si>
    <t>Business Administration, Management and Operations.</t>
  </si>
  <si>
    <t>Business Administration and Management, General.</t>
  </si>
  <si>
    <t>Purchasing, Procurement/Acquisitions and Contracts Management.</t>
  </si>
  <si>
    <t>Logistics, Materials, and Supply Chain Management.</t>
  </si>
  <si>
    <t>Office Management and Supervision.</t>
  </si>
  <si>
    <t>Operations Management and Supervision.</t>
  </si>
  <si>
    <t>Non-Profit/Public/Organizational Management.</t>
  </si>
  <si>
    <t>Customer Service Management.</t>
  </si>
  <si>
    <t>E-Commerce/Electronic Commerce.</t>
  </si>
  <si>
    <t>Transportation/Mobility Management.</t>
  </si>
  <si>
    <t>Research and Development Management.</t>
  </si>
  <si>
    <t>Project Management.</t>
  </si>
  <si>
    <t>Retail Management.</t>
  </si>
  <si>
    <t>Organizational Leadership.</t>
  </si>
  <si>
    <t>Research Administration.</t>
  </si>
  <si>
    <t>Risk Management.</t>
  </si>
  <si>
    <t>Science/Technology Management.</t>
  </si>
  <si>
    <t>Business Administration, Management and Operations, Other.</t>
  </si>
  <si>
    <t>Accounting and Related Services.</t>
  </si>
  <si>
    <t>Accounting.</t>
  </si>
  <si>
    <t>Accounting Technology/Technician and Bookkeeping.</t>
  </si>
  <si>
    <t>Auditing.</t>
  </si>
  <si>
    <t>Accounting and Finance.</t>
  </si>
  <si>
    <t>Accounting and Business/Management.</t>
  </si>
  <si>
    <t>Accounting and Related Services, Other.</t>
  </si>
  <si>
    <t>Business Operations Support and Assistant Services.</t>
  </si>
  <si>
    <t>Administrative Assistant and Secretarial Science, General.</t>
  </si>
  <si>
    <t>Executive Assistant/Executive Secretary.</t>
  </si>
  <si>
    <t>Receptionist.</t>
  </si>
  <si>
    <t>Business/Office Automation/Technology/Data Entry.</t>
  </si>
  <si>
    <t>General Office Occupations and Clerical Services.</t>
  </si>
  <si>
    <t>Parts, Warehousing, and Inventory Management Operations.</t>
  </si>
  <si>
    <t>Traffic, Customs, and Transportation Clerk/Technician.</t>
  </si>
  <si>
    <t>Customer Service Support/Call Center/Teleservice Operation.</t>
  </si>
  <si>
    <t>Business Operations Support and Secretarial Services, Other.</t>
  </si>
  <si>
    <t>Business/Corporate Communications.</t>
  </si>
  <si>
    <t>Business/Corporate Communications, General.</t>
  </si>
  <si>
    <t>Grantsmanship.</t>
  </si>
  <si>
    <t>Business/Corporate Communications, Other.</t>
  </si>
  <si>
    <t>Business/Managerial Economics.</t>
  </si>
  <si>
    <t>Entrepreneurial and Small Business Operations.</t>
  </si>
  <si>
    <t>Entrepreneurship/Entrepreneurial Studies.</t>
  </si>
  <si>
    <t>Franchising and Franchise Operations.</t>
  </si>
  <si>
    <t>Small Business Administration/Management.</t>
  </si>
  <si>
    <t>Social Entrepreneurship.</t>
  </si>
  <si>
    <t>Entrepreneurial and Small Business Operations, Other.</t>
  </si>
  <si>
    <t>Finance and Financial Management Services.</t>
  </si>
  <si>
    <t>Finance, General.</t>
  </si>
  <si>
    <t>Banking and Financial Support Services.</t>
  </si>
  <si>
    <t>Financial Planning and Services.</t>
  </si>
  <si>
    <t>International Finance.</t>
  </si>
  <si>
    <t>Investments and Securities.</t>
  </si>
  <si>
    <t>Public Finance.</t>
  </si>
  <si>
    <t>Credit Management.</t>
  </si>
  <si>
    <t>Financial Risk Management.</t>
  </si>
  <si>
    <t>Finance and Financial Management Services, Other.</t>
  </si>
  <si>
    <t>Hospitality Administration/Management.</t>
  </si>
  <si>
    <t>Hospitality Administration/Management, General.</t>
  </si>
  <si>
    <t>Tourism and Travel Services Management.</t>
  </si>
  <si>
    <t>Hotel/Motel Administration/Management.</t>
  </si>
  <si>
    <t>Restaurant/Food Services Management.</t>
  </si>
  <si>
    <t>Resort Management.</t>
  </si>
  <si>
    <t>Meeting and Event Planning.</t>
  </si>
  <si>
    <t>Casino Management.</t>
  </si>
  <si>
    <t>Hotel, Motel, and Restaurant Management.</t>
  </si>
  <si>
    <t>Brewery/Brewpub Operations/Management.</t>
  </si>
  <si>
    <t>Hospitality Administration/Management, Other.</t>
  </si>
  <si>
    <t>Human Resources Management and Services.</t>
  </si>
  <si>
    <t>Human Resources Management/Personnel Administration, General.</t>
  </si>
  <si>
    <t>Labor and Industrial Relations.</t>
  </si>
  <si>
    <t>Organizational Behavior Studies.</t>
  </si>
  <si>
    <t>Labor Studies.</t>
  </si>
  <si>
    <t>Human Resources Development.</t>
  </si>
  <si>
    <t>Executive/Career Coaching.</t>
  </si>
  <si>
    <t>Human Resources Management and Services, Other.</t>
  </si>
  <si>
    <t>International Business.</t>
  </si>
  <si>
    <t>International Business/Trade/Commerce.</t>
  </si>
  <si>
    <t>Management Information Systems and Services.</t>
  </si>
  <si>
    <t>Management Information Systems, General.</t>
  </si>
  <si>
    <t>Information Resources Management.</t>
  </si>
  <si>
    <t>Knowledge Management.</t>
  </si>
  <si>
    <t>Management Information Systems and Services, Other.</t>
  </si>
  <si>
    <t>Management Sciences and Quantitative Methods.</t>
  </si>
  <si>
    <t>Management Science.</t>
  </si>
  <si>
    <t>Business Statistics.</t>
  </si>
  <si>
    <t>Actuarial Science.</t>
  </si>
  <si>
    <t>Management Sciences and Quantitative Methods, Other.</t>
  </si>
  <si>
    <t>Marketing.</t>
  </si>
  <si>
    <t>Marketing/Marketing Management, General.</t>
  </si>
  <si>
    <t>Marketing Research.</t>
  </si>
  <si>
    <t>International Marketing.</t>
  </si>
  <si>
    <t>Digital Marketing.</t>
  </si>
  <si>
    <t>Marketing, Other.</t>
  </si>
  <si>
    <t>Real Estate.</t>
  </si>
  <si>
    <t>Taxation.</t>
  </si>
  <si>
    <t>Insurance.</t>
  </si>
  <si>
    <t>General Sales, Merchandising and Related Marketing Operations.</t>
  </si>
  <si>
    <t>Sales, Distribution, and Marketing Operations, General.</t>
  </si>
  <si>
    <t>Merchandising and Buying Operations.</t>
  </si>
  <si>
    <t>Retailing and Retail Operations.</t>
  </si>
  <si>
    <t>Selling Skills and Sales Operations.</t>
  </si>
  <si>
    <t>General Merchandising, Sales, and Related Marketing Operations, Other.</t>
  </si>
  <si>
    <t>Specialized Sales, Merchandising and  Marketing Operations.</t>
  </si>
  <si>
    <t>Auctioneering.</t>
  </si>
  <si>
    <t>Fashion Merchandising.</t>
  </si>
  <si>
    <t>Fashion Modeling.</t>
  </si>
  <si>
    <t>Apparel and Accessories Marketing Operations.</t>
  </si>
  <si>
    <t>Tourism and Travel Services Marketing Operations.</t>
  </si>
  <si>
    <t>Tourism Promotion Operations.</t>
  </si>
  <si>
    <t>Vehicle and Vehicle Parts and Accessories Marketing Operations.</t>
  </si>
  <si>
    <t>Business and Personal/Financial Services Marketing Operations.</t>
  </si>
  <si>
    <t>Special Products Marketing Operations.</t>
  </si>
  <si>
    <t>Hospitality and Recreation Marketing Operations.</t>
  </si>
  <si>
    <t>Specialized Merchandising, Sales, and Marketing Operations, Other.</t>
  </si>
  <si>
    <t>Construction Management.</t>
  </si>
  <si>
    <t>Construction Management, General.</t>
  </si>
  <si>
    <t>Construction Project Management.</t>
  </si>
  <si>
    <t>Construction Management, Other.</t>
  </si>
  <si>
    <t>Telecommunications Management.</t>
  </si>
  <si>
    <t>Business, Management, Marketing, and Related Support Services, Other.</t>
  </si>
  <si>
    <t>HIGH SCHOOL/SECONDARY DIPLOMAS AND CERTIFICATES.</t>
  </si>
  <si>
    <t>High School/Secondary Diploma Programs.</t>
  </si>
  <si>
    <t>Regular/General High School/Secondary Diploma Program.</t>
  </si>
  <si>
    <t>College/University Preparatory and Advanced High School/Secondary Diploma Program.</t>
  </si>
  <si>
    <t>Vocational High School and Secondary Business/Vocational-Industrial/Occupational Diploma Program.</t>
  </si>
  <si>
    <t>Honors/Regents High School/Secondary Diploma Program.</t>
  </si>
  <si>
    <t>Adult High School/Secondary Diploma Program.</t>
  </si>
  <si>
    <t>High School/Secondary Diploma Programs, Other.</t>
  </si>
  <si>
    <t>High School/Secondary Certificate Programs.</t>
  </si>
  <si>
    <t>High School Equivalence Certificate Program.</t>
  </si>
  <si>
    <t>High School Certificate of Competence Program.</t>
  </si>
  <si>
    <t>Certificate of IEP Completion Program.</t>
  </si>
  <si>
    <t>High School/Secondary Certificates, Other.</t>
  </si>
  <si>
    <t>HISTORY.</t>
  </si>
  <si>
    <t>History.</t>
  </si>
  <si>
    <t>History, General.</t>
  </si>
  <si>
    <t>American  History (United States).</t>
  </si>
  <si>
    <t>European History.</t>
  </si>
  <si>
    <t>History and Philosophy of Science and Technology.</t>
  </si>
  <si>
    <t>Public/Applied History.</t>
  </si>
  <si>
    <t>Asian History.</t>
  </si>
  <si>
    <t>Canadian History.</t>
  </si>
  <si>
    <t>Military History.</t>
  </si>
  <si>
    <t>History, Other.</t>
  </si>
  <si>
    <t>HEALTH PROFESSIONS RESIDENCY/FELLOWSHIP PROGRAMS.</t>
  </si>
  <si>
    <t>Dental Residency/Fellowship Programs.</t>
  </si>
  <si>
    <t>Oral and Maxillofacial Surgery Residency Program.</t>
  </si>
  <si>
    <t>Dental Public Health Residency Program.</t>
  </si>
  <si>
    <t>Endodontics Residency Program.</t>
  </si>
  <si>
    <t>Oral and Maxillofacial Pathology Residency Program.</t>
  </si>
  <si>
    <t>Orthodontics Residency Program.</t>
  </si>
  <si>
    <t>Pediatric Dentistry Residency Program.</t>
  </si>
  <si>
    <t>Periodontology Residency Program.</t>
  </si>
  <si>
    <t>Prosthodontics Residency Program.</t>
  </si>
  <si>
    <t>Oral and Maxillofacial Radiology Residency Program.</t>
  </si>
  <si>
    <t>Implantology Fellowship Program.</t>
  </si>
  <si>
    <t>Dental Residency/Fellowship Program, Other.</t>
  </si>
  <si>
    <t>Veterinary Residency/Fellowship Programs.</t>
  </si>
  <si>
    <t>Veterinary Anesthesiology Residency Program.</t>
  </si>
  <si>
    <t>Veterinary Dentistry Residency Program.</t>
  </si>
  <si>
    <t>Veterinary Dermatology Residency Program.</t>
  </si>
  <si>
    <t>Veterinary Emergency and Critical Care Medicine Residency Program.</t>
  </si>
  <si>
    <t>Veterinary Internal Medicine Residency Program.</t>
  </si>
  <si>
    <t>Laboratory Animal Medicine Residency Program.</t>
  </si>
  <si>
    <t>Veterinary Microbiology Residency Program.</t>
  </si>
  <si>
    <t>Veterinary Nutrition Residency Program.</t>
  </si>
  <si>
    <t>Veterinary Ophthalmology Residency Program.</t>
  </si>
  <si>
    <t>Veterinary Pathology Residency Program.</t>
  </si>
  <si>
    <t>Veterinary Practice Residency Program.</t>
  </si>
  <si>
    <t>Veterinary Preventive Medicine Residency Program.</t>
  </si>
  <si>
    <t>Veterinary Radiology Residency Program.</t>
  </si>
  <si>
    <t>Veterinary Surgery Residency Program.</t>
  </si>
  <si>
    <t>Theriogenology Residency Program.</t>
  </si>
  <si>
    <t>Veterinary Toxicology Residency Program.</t>
  </si>
  <si>
    <t>Zoological Medicine Residency Program.</t>
  </si>
  <si>
    <t>Poultry Veterinarian Residency Program.</t>
  </si>
  <si>
    <t>Veterinary Behaviorist Residency Program.</t>
  </si>
  <si>
    <t>Veterinary Clinical Pharmacology Residency Program.</t>
  </si>
  <si>
    <t>Veterinary Residency/Fellowship Program, Other.</t>
  </si>
  <si>
    <t>Medical Residency Programs - General Certificates.</t>
  </si>
  <si>
    <t>Aerospace Medicine Residency Program.</t>
  </si>
  <si>
    <t>Allergy and Immunology Residency Program.</t>
  </si>
  <si>
    <t>Anesthesiology Residency Program.</t>
  </si>
  <si>
    <t>Child Neurology Residency Program.</t>
  </si>
  <si>
    <t>Clinical Biochemical Genetics Residency Program.</t>
  </si>
  <si>
    <t>Clinical Cytogenetics Residency Program.</t>
  </si>
  <si>
    <t>Clinical Genetics Residency Program.</t>
  </si>
  <si>
    <t>Clinical Molecular Genetics Residency Program.</t>
  </si>
  <si>
    <t>Colon and Rectal Surgery Residency Program.</t>
  </si>
  <si>
    <t>Dermatology Residency Program.</t>
  </si>
  <si>
    <t>Diagnostic Radiology Residency Program.</t>
  </si>
  <si>
    <t>Emergency Medicine Residency Program.</t>
  </si>
  <si>
    <t>Family Medicine Residency Program.</t>
  </si>
  <si>
    <t>General Surgery Residency Program.</t>
  </si>
  <si>
    <t>Internal Medicine Residency Program.</t>
  </si>
  <si>
    <t>Neurological Surgery Residency Program.</t>
  </si>
  <si>
    <t>Neurology Residency Program.</t>
  </si>
  <si>
    <t>Nuclear Medicine Residency Program.</t>
  </si>
  <si>
    <t>Obstetrics and Gynecology Residency Program.</t>
  </si>
  <si>
    <t>Occupational Medicine Residency Program.</t>
  </si>
  <si>
    <t>Ophthalmology Residency Program.</t>
  </si>
  <si>
    <t>Orthopedic Surgery Residency Program.</t>
  </si>
  <si>
    <t>Otolaryngology Residency Program.</t>
  </si>
  <si>
    <t>Pathology Residency Program.</t>
  </si>
  <si>
    <t>Pediatrics Residency Program.</t>
  </si>
  <si>
    <t>Physical Medicine and Rehabilitation Residency Program.</t>
  </si>
  <si>
    <t>Plastic Surgery Residency Program.</t>
  </si>
  <si>
    <t>Psychiatry Residency Program.</t>
  </si>
  <si>
    <t>Public Health and General Preventive Medicine Residency Program.</t>
  </si>
  <si>
    <t>Radiation Oncology Residency Program.</t>
  </si>
  <si>
    <t>Radiologic Physics Residency Program.</t>
  </si>
  <si>
    <t>Thoracic Surgery Residency Program.</t>
  </si>
  <si>
    <t>Urology Residency Program.</t>
  </si>
  <si>
    <t>Vascular Surgery Residency Program.</t>
  </si>
  <si>
    <t>Medical Residency Programs - General Certificates, Other.</t>
  </si>
  <si>
    <t>Medical Residency Programs - Subspecialty Certificates.</t>
  </si>
  <si>
    <t>Addiction Psychiatry Residency Program.</t>
  </si>
  <si>
    <t>Adolescent Medicine Residency Program.</t>
  </si>
  <si>
    <t>Blood Banking/Transfusion Medicine Residency Program.</t>
  </si>
  <si>
    <t>Cardiovascular Disease Residency Program.</t>
  </si>
  <si>
    <t>Chemical Pathology Residency Program.</t>
  </si>
  <si>
    <t>Child Abuse Pediatrics Residency Program.</t>
  </si>
  <si>
    <t>Child and Adolescent Psychiatry Residency Program.</t>
  </si>
  <si>
    <t>Clinical Cardiac Electrophysiology Residency Program.</t>
  </si>
  <si>
    <t>Clinical Neurophysiology Residency Program.</t>
  </si>
  <si>
    <t>Congenital Cardiac Surgery Residency Program.</t>
  </si>
  <si>
    <t>Critical Care Medicine Residency Program.</t>
  </si>
  <si>
    <t>Cytopathology Residency Program.</t>
  </si>
  <si>
    <t>Dermatopathology Residency Program.</t>
  </si>
  <si>
    <t>Developmental-Behavioral Pediatrics Residency Program.</t>
  </si>
  <si>
    <t>Diagnostic Radiologic Physics Residency Program.</t>
  </si>
  <si>
    <t>Endocrinology, Diabetes and Metabolism Residency Program.</t>
  </si>
  <si>
    <t>Forensic Pathology Residency Program.</t>
  </si>
  <si>
    <t>Forensic Psychiatry Residency Program.</t>
  </si>
  <si>
    <t>Gastroenterology Residency Program.</t>
  </si>
  <si>
    <t>Geriatric Medicine Residency Program.</t>
  </si>
  <si>
    <t>Geriatric Psychiatry Residency Program.</t>
  </si>
  <si>
    <t>Gynecologic Oncology Residency Program.</t>
  </si>
  <si>
    <t>Hematological Pathology Residency Program.</t>
  </si>
  <si>
    <t>Hematology Residency Program.</t>
  </si>
  <si>
    <t>Hospice and Palliative Medicine Residency Program.</t>
  </si>
  <si>
    <t>Immunopathology Residency Program.</t>
  </si>
  <si>
    <t>Infectious Disease Residency Program.</t>
  </si>
  <si>
    <t>Interventional Cardiology Residency Program.</t>
  </si>
  <si>
    <t>Laboratory Medicine Residency Program.</t>
  </si>
  <si>
    <t>Maternal and Fetal Medicine Residency Program.</t>
  </si>
  <si>
    <t>Medical Biochemical Genetics Residency Program.</t>
  </si>
  <si>
    <t>Medical Microbiology Residency Program.</t>
  </si>
  <si>
    <t>Medical Nuclear Physics Residency Program.</t>
  </si>
  <si>
    <t>Medical Oncology Residency Program.</t>
  </si>
  <si>
    <t>Medical Toxicology Residency Program.</t>
  </si>
  <si>
    <t>Molecular Genetic Pathology Residency Program.</t>
  </si>
  <si>
    <t>Musculoskeletal Oncology Residency Program.</t>
  </si>
  <si>
    <t>Neonatal-Perinatal Medicine Residency Program.</t>
  </si>
  <si>
    <t>Nephrology Residency Program.</t>
  </si>
  <si>
    <t>Neurodevelopmental Disabilities Residency Program.</t>
  </si>
  <si>
    <t>Neuromuscular Medicine Residency Program.</t>
  </si>
  <si>
    <t>Neuropathology Residency Program.</t>
  </si>
  <si>
    <t>Neuroradiology Residency Program.</t>
  </si>
  <si>
    <t>Neurotology Residency Program.</t>
  </si>
  <si>
    <t>Nuclear Radiology Residency Program.</t>
  </si>
  <si>
    <t>Orthopedic Sports Medicine Residency Program.</t>
  </si>
  <si>
    <t>Orthopedic Surgery of the Spine Residency Program.</t>
  </si>
  <si>
    <t>Pain Medicine Residency Program.</t>
  </si>
  <si>
    <t>Pediatric Cardiology Residency Program.</t>
  </si>
  <si>
    <t>Pediatric Critical Care Medicine Residency Program.</t>
  </si>
  <si>
    <t>Pediatric Dermatology Residency Program.</t>
  </si>
  <si>
    <t>Pediatric Emergency Medicine Residency Program.</t>
  </si>
  <si>
    <t>Pediatric Endocrinology Residency Program.</t>
  </si>
  <si>
    <t>Pediatric Gastroenterology Residency Program.</t>
  </si>
  <si>
    <t>Pediatric Hematology-Oncology Residency Program.</t>
  </si>
  <si>
    <t>Pediatric Infectious Diseases Residency Program.</t>
  </si>
  <si>
    <t>Pediatric Nephrology Residency Program.</t>
  </si>
  <si>
    <t>Pediatric Orthopedics Residency Program.</t>
  </si>
  <si>
    <t>Pediatric Otolaryngology Residency Program.</t>
  </si>
  <si>
    <t>Pediatric Pathology Residency Program.</t>
  </si>
  <si>
    <t>Pediatric Pulmonology Residency Program.</t>
  </si>
  <si>
    <t>Pediatric Radiology Residency Program.</t>
  </si>
  <si>
    <t>Pediatric Rehabilitation Medicine Residency Program.</t>
  </si>
  <si>
    <t>Pediatric Rheumatology Residency Program.</t>
  </si>
  <si>
    <t>Pediatric Surgery Residency Program.</t>
  </si>
  <si>
    <t>Pediatric Transplant Hepatology Residency Program.</t>
  </si>
  <si>
    <t>Pediatric Urology Residency Program.</t>
  </si>
  <si>
    <t>Physical Medicine and Rehabilitation/Psychiatry Residency Program.</t>
  </si>
  <si>
    <t>Plastic Surgery Within the Head and Neck Residency Program.</t>
  </si>
  <si>
    <t>Psychosomatic Medicine Residency Program.</t>
  </si>
  <si>
    <t>Pulmonary Disease Residency Program.</t>
  </si>
  <si>
    <t>Radioisotopic Pathology Residency Program.</t>
  </si>
  <si>
    <t>Reproductive Endocrinology/Infertility Residency Program.</t>
  </si>
  <si>
    <t>Rheumatology Residency Program.</t>
  </si>
  <si>
    <t>Sleep Medicine Residency Program.</t>
  </si>
  <si>
    <t>Spinal Cord Injury Medicine Residency Program.</t>
  </si>
  <si>
    <t>Sports Medicine Residency Program.</t>
  </si>
  <si>
    <t>Surgery of the Hand Residency Program.</t>
  </si>
  <si>
    <t>Surgical Critical Care Residency Program.</t>
  </si>
  <si>
    <t>Therapeutic Radiologic Physics Residency Program.</t>
  </si>
  <si>
    <t>Transplant Hepatology Residency Program.</t>
  </si>
  <si>
    <t>Undersea and Hyperbaric Medicine Residency Program.</t>
  </si>
  <si>
    <t>Vascular and Interventional Radiology Residency Program.</t>
  </si>
  <si>
    <t>Vascular Neurology Residency Program.</t>
  </si>
  <si>
    <t>Medical Residency Programs - Subspecialty Certificates, Other.</t>
  </si>
  <si>
    <t>Podiatric Medicine Residency Programs.</t>
  </si>
  <si>
    <t>Podiatric Medicine and Surgery - 24 Residency Program.</t>
  </si>
  <si>
    <t>Podiatric Medicine and Surgery - 36 Residency Program.</t>
  </si>
  <si>
    <t>Nurse Practitioner Residency/Fellowship Programs.</t>
  </si>
  <si>
    <t>Nurse Practitioner Residency/Fellowship Program, General.</t>
  </si>
  <si>
    <t>Combined Nurse Practitioner Residency/Fellowship Program.</t>
  </si>
  <si>
    <t>Acute Care Nurse Practitioner Residency/Fellowship Program.</t>
  </si>
  <si>
    <t>Adult/Gerontology Acute Care Nurse Practitioner Residency/Fellowship Program.</t>
  </si>
  <si>
    <t>Adult/Gerontology Critical Care Nurse Practitioner Residency/Fellowship Program.</t>
  </si>
  <si>
    <t>Cardiology/Cardiovascular Nurse Practitioner Residency/Fellowship Program.</t>
  </si>
  <si>
    <t>Clinical Informatics Nurse Practitioner Residency/Fellowship Program.</t>
  </si>
  <si>
    <t>Dermatology Nurse Practitioner Residency/Fellowship Program.</t>
  </si>
  <si>
    <t>Developmental and Behavioral Pediatrics Nurse Practitioner Residency/Fellowship Program.</t>
  </si>
  <si>
    <t>Diabetes Nurse Practitioner Residency/Fellowship Program.</t>
  </si>
  <si>
    <t>Emergency Medicine Nurse Practitioner Residency/Fellowship Program.</t>
  </si>
  <si>
    <t>Endocrinology Nurse Practitioner Residency/Fellowship Program.</t>
  </si>
  <si>
    <t>Family Medicine Nurse Practitioner Residency/Fellowship Program.</t>
  </si>
  <si>
    <t>Gastroenterology and Hepatology Nurse Practitioner Residency/Fellowship Program.</t>
  </si>
  <si>
    <t>Gastroenterology Nurse Practitioner Residency/Fellowship Program.</t>
  </si>
  <si>
    <t>Genetics Nurse Practitioner Residency/Fellowship Program.</t>
  </si>
  <si>
    <t>Gerontology Nurse Practitioner Residency/Fellowship Program.</t>
  </si>
  <si>
    <t>Global Health Nurse Practitioner Residency/Fellowship Program.</t>
  </si>
  <si>
    <t>Hematology-Oncology Nurse Practitioner Residency/Fellowship Program.</t>
  </si>
  <si>
    <t>Hepatology Nurse Practitioner Residency/Fellowship Program.</t>
  </si>
  <si>
    <t>Home-Based Primary Care Nurse Practitioner Residency/Fellowship Program.</t>
  </si>
  <si>
    <t>Hospice and Palliative Medicine Nurse Practitioner Residency/Fellowship Program.</t>
  </si>
  <si>
    <t>Hospital Medicine Nurse Practitioner Residency/Fellowship Program.</t>
  </si>
  <si>
    <t>Infectious Diseases Nurse Practitioner Residency/Fellowship Program.</t>
  </si>
  <si>
    <t>Neonatal Nurse Practitioner Residency/Fellowship Program.</t>
  </si>
  <si>
    <t>Nephrology Nurse Practitioner Residency/Fellowship Program.</t>
  </si>
  <si>
    <t>Neurology Nurse Practitioner Residency/Fellowship Program.</t>
  </si>
  <si>
    <t>Neuroscience Nurse Practitioner Residency/Fellowship Program.</t>
  </si>
  <si>
    <t>Obstetrics and Gynecology Nurse Practitioner Residency/Fellowship Program.</t>
  </si>
  <si>
    <t>Occupational Health Nurse Practitioner Residency/Fellowship Program.</t>
  </si>
  <si>
    <t>Orthopedic Nurse Practitioner Residency/Fellowship Program.</t>
  </si>
  <si>
    <t>Orthopedic Surgery Nurse Practitioner Residency/Fellowship Program.</t>
  </si>
  <si>
    <t>Pain Management Nurse Practitioner Residency/Fellowship Program.</t>
  </si>
  <si>
    <t>Palliative Care Nurse Practitioner Residency/Fellowship Program.</t>
  </si>
  <si>
    <t>Pediatric Hematology-Oncology Nurse Practitioner Residency/Fellowship Program.</t>
  </si>
  <si>
    <t>Pediatric Nurse Practitioner Residency/Fellowship Program.</t>
  </si>
  <si>
    <t>Pediatric Rehabilitation Nurse Practitioner Residency/Fellowship Program.</t>
  </si>
  <si>
    <t>Psychiatric/Mental Health Nurse Practitioner Residency/Fellowship Program.</t>
  </si>
  <si>
    <t>Public/Community Health Nurse Practitioner Residency/Fellowship Program.</t>
  </si>
  <si>
    <t>Pulmonary Nurse Practitioner Residency/Fellowship Program.</t>
  </si>
  <si>
    <t>Rheumatology Nurse Practitioner Residency/Fellowship Program.</t>
  </si>
  <si>
    <t>Rural Health Nurse Practitioner Residency/Fellowship Program.</t>
  </si>
  <si>
    <t>Sleep Medicine Nurse Practitioner Residency/Fellowship Program.</t>
  </si>
  <si>
    <t>Surgical and Critical Care Nurse Practitioner Residency/Fellowship Program.</t>
  </si>
  <si>
    <t>Surgical Wound and Reconstruction Nurse Practitioner Residency/Fellowship Program.</t>
  </si>
  <si>
    <t>Transplantation Nurse Practitioner Residency/Fellowship Program.</t>
  </si>
  <si>
    <t>Trauma and Critical Care Nurse Practitioner Residency/Fellowship Program.</t>
  </si>
  <si>
    <t>Urgent Care Nurse Practitioner Residency/Fellowship Program.</t>
  </si>
  <si>
    <t>Urology Nurse Practitioner Residency/Fellowship Program.</t>
  </si>
  <si>
    <t>Women's Health Nurse Practitioner Residency/Fellowship Program.</t>
  </si>
  <si>
    <t>Wound Care Nurse Practitioner Residency/Fellowship Program.</t>
  </si>
  <si>
    <t>Nurse Practitioner Residency/Fellowship Program, Other.</t>
  </si>
  <si>
    <t>Pharmacy Residency/Fellowship Programs.</t>
  </si>
  <si>
    <t>Pharmacy Residency/Fellowship Program, General.</t>
  </si>
  <si>
    <t>Combined Pharmacy Residency/Fellowship Program.</t>
  </si>
  <si>
    <t>Ambulatory Care Pharmacy Residency/Fellowship Program.</t>
  </si>
  <si>
    <t>Cardiology Pharmacy Residency/Fellowship Program.</t>
  </si>
  <si>
    <t>Clinical Pharmacogenomics Pharmacy Residency/Fellowship Program.</t>
  </si>
  <si>
    <t>Community/Community-Based Pharmacy Residency/Fellowship Program.</t>
  </si>
  <si>
    <t>Corporate Pharmacy Leadership Residency/Fellowship Program.</t>
  </si>
  <si>
    <t>Critical Care Pharmacy Residency/Fellowship Program.</t>
  </si>
  <si>
    <t>Drug Information Pharmacy Residency/Fellowship Program</t>
  </si>
  <si>
    <t>Emergency Medicine Pharmacy Residency/Fellowship Program.</t>
  </si>
  <si>
    <t>Family Medicine Pharmacy Residency/Fellowship Program.</t>
  </si>
  <si>
    <t>Geriatric Pharmacy Residency/Fellowship Program.</t>
  </si>
  <si>
    <t>Health System Medication Management Pharmacy Residency/Fellowship Program.</t>
  </si>
  <si>
    <t>Health System Pharmacy Administration and Leadership Residency/Fellowship Program.</t>
  </si>
  <si>
    <t>Infectious Diseases Pharmacy Residency/Fellowship Program.</t>
  </si>
  <si>
    <t>Internal Medicine Pharmacy Residency/Fellowship Program.</t>
  </si>
  <si>
    <t>Investigational Drugs and Research Pharmacy Residency/Fellowship Program.</t>
  </si>
  <si>
    <t>Managed Care Pharmacy Residency/Fellowship Program.</t>
  </si>
  <si>
    <t>Medication Systems and Operations Pharmacy Residency/Fellowship Program.</t>
  </si>
  <si>
    <t>Medication-Use Safety Pharmacy Residency/Fellowship Program.</t>
  </si>
  <si>
    <t>Neonatal Pharmacy Residency/Fellowship Program.</t>
  </si>
  <si>
    <t>Nephrology Pharmacy Residency/Fellowship Program.</t>
  </si>
  <si>
    <t>Neurology Pharmacy Residency/Fellowship Program.</t>
  </si>
  <si>
    <t>Nuclear Pharmacy Residency/Fellowship Program.</t>
  </si>
  <si>
    <t>Nutrition Support Pharmacy Residency/Fellowship Program.</t>
  </si>
  <si>
    <t>Oncology Pharmacy Residency/Fellowship Program.</t>
  </si>
  <si>
    <t>Palliative Care/Pain Management Pharmacy Residency/Fellowship Program.</t>
  </si>
  <si>
    <t>Pediatric Pharmacy Residency/Fellowship Program.</t>
  </si>
  <si>
    <t>Pharmacotherapy Pharmacy Residency/Fellowship Program.</t>
  </si>
  <si>
    <t>Pharmacy Informatics Pharmacy Residency/Fellowship Program.</t>
  </si>
  <si>
    <t>Psychiatric Pharmacy Residency/Fellowship Program.</t>
  </si>
  <si>
    <t>Transplantation Pharmacy Residency/Fellowship Program.</t>
  </si>
  <si>
    <t>Pharmacy Residency Programs, Other.</t>
  </si>
  <si>
    <t>Physician Assistant Residency/Fellowship Programs.</t>
  </si>
  <si>
    <t>Physician Assistant Residency/Fellowship Program, General.</t>
  </si>
  <si>
    <t>Combined Physician Assistant Residency/Fellowship Program.</t>
  </si>
  <si>
    <t>Acute Care Medicine Physician Assistant Residency/Fellowship Program.</t>
  </si>
  <si>
    <t>Acute Care Surgery Physician Assistant Residency/Fellowship Program.</t>
  </si>
  <si>
    <t>Cardiology Physician Assistant Residency/Fellowship Program.</t>
  </si>
  <si>
    <t>Cardiothoracic Surgery Physician Assistant Residency/Fellowship Program.</t>
  </si>
  <si>
    <t>Critical Care Physician Assistant Residency/Fellowship Program.</t>
  </si>
  <si>
    <t>Critical Care and Trauma Surgery Physician Assistant Residency/Fellowship Program.</t>
  </si>
  <si>
    <t>Emergency Medicine Physician Assistant Residency/Fellowship Program.</t>
  </si>
  <si>
    <t>ENT Surgery Physician Assistant Residency/Fellowship Program.</t>
  </si>
  <si>
    <t>Family Medicine Physician Assistant Residency/Fellowship Program.</t>
  </si>
  <si>
    <t>Geriatrics Physician Assistant Residency/Fellowship Program.</t>
  </si>
  <si>
    <t>Hematology-Oncology Physician Assistant Residency/Fellowship Program.</t>
  </si>
  <si>
    <t>Hepatobiliary Surgery Physician Assistant Residency/Fellowship Program.</t>
  </si>
  <si>
    <t>Hospitalist Physician Assistant Residency/Fellowship Program.</t>
  </si>
  <si>
    <t>Neurosurgery Physician Assistant Residency/Fellowship Program.</t>
  </si>
  <si>
    <t>Orthopedic Surgery Physician Assistant Residency/Fellowship Program.</t>
  </si>
  <si>
    <t>Pediatric Surgery Physician Assistant Residency/Fellowship Program.</t>
  </si>
  <si>
    <t>Transplant Surgery Physician Assistant Residency/Fellowship Program.</t>
  </si>
  <si>
    <t>Urology Physician Assistant Residency/Fellowship Program.</t>
  </si>
  <si>
    <t>Physician Assistant Residency/Fellowship Program, Other.</t>
  </si>
  <si>
    <t>Health Professions Residency/Fellowship Programs, Other.</t>
  </si>
  <si>
    <t>MEDICAL RESIDENCY/FELLOWSHIP PROGRAMS.</t>
  </si>
  <si>
    <t>Combined Medical Residency/Fellowship Programs.</t>
  </si>
  <si>
    <t>Combined Medical Residency/Fellowship Program, General.</t>
  </si>
  <si>
    <t>Diagnostic Radiology/Nuclear Medicine Combined Specialty Program.</t>
  </si>
  <si>
    <t>Emergency Medicine/Anesthesiology Combined Specialty Program.</t>
  </si>
  <si>
    <t>Family Medicine/Emergency Medicine Combined Specialty Program.</t>
  </si>
  <si>
    <t>Family Medicine/Osteopathic Neuromusculoskeletal Medicine Combined Specialty Program.</t>
  </si>
  <si>
    <t>Family Medicine/Preventive Medicine Combined Specialty Program.</t>
  </si>
  <si>
    <t>Family Medicine/Psychiatry Combined Specialty Program.</t>
  </si>
  <si>
    <t>Internal Medicine/Anesthesiology Combined Specialty Program.</t>
  </si>
  <si>
    <t>Internal Medicine/Dermatology Combined Specialty Program.</t>
  </si>
  <si>
    <t>Internal Medicine/Emergency Medicine Combined Specialty Program.</t>
  </si>
  <si>
    <t>Internal Medicine/Emergency Medicine/Critical Care Medicine Combined Specialty Program.</t>
  </si>
  <si>
    <t>Internal Medicine/Family Medicine Combined Specialty Program.</t>
  </si>
  <si>
    <t>Internal Medicine/Medical Genetics and Genomics Combined Specialty Program.</t>
  </si>
  <si>
    <t>Internal Medicine/Neurology Combined Specialty Program.</t>
  </si>
  <si>
    <t>Internal Medicine/Pediatrics Combined Specialty Program.</t>
  </si>
  <si>
    <t>Internal Medicine/Preventive Medicine Combined Specialty Program.</t>
  </si>
  <si>
    <t>Internal Medicine/Psychiatry Combined Specialty Program.</t>
  </si>
  <si>
    <t>Medical Genetics and Genomics/Maternal-Fetal Medicine Combined Specialty Program.</t>
  </si>
  <si>
    <t>Pediatrics/Anesthesiology Combined Specialty Program.</t>
  </si>
  <si>
    <t>Pediatrics/Emergency Medicine Combined Specialty Program.</t>
  </si>
  <si>
    <t>Pediatrics/Medical Genetics and Genomics Combined Specialty Program.</t>
  </si>
  <si>
    <t>Pediatrics/Physical Medicine &amp; Rehabilitation Combined Specialty Program.</t>
  </si>
  <si>
    <t>Pediatrics/Psychology/Child-Adolescent Psychology Combined Specialty Program.</t>
  </si>
  <si>
    <t>Psychiatry/Neurology Combined Specialty Program.</t>
  </si>
  <si>
    <t>Reproductive Endocrinology and Infertility/Medical Genetics and Genomics Combined Specialty Program.</t>
  </si>
  <si>
    <t>Combined Medical Residency/Fellowship Programs, Other.</t>
  </si>
  <si>
    <t>Multiple-Pathway Medical Fellowship Programs.</t>
  </si>
  <si>
    <t>Critical Care Medicine Fellowship Program.</t>
  </si>
  <si>
    <t>Geriatric Medicine Fellowship Program.</t>
  </si>
  <si>
    <t>Health Policy Fellowship Program.</t>
  </si>
  <si>
    <t>Hospice and Palliative Medicine Fellowship Program.</t>
  </si>
  <si>
    <t>Integrative Medicine Fellowship Program.</t>
  </si>
  <si>
    <t>Medical Education Fellowship Program.</t>
  </si>
  <si>
    <t>Medical Toxicology Fellowship Program.</t>
  </si>
  <si>
    <t>Neuromuscular Medicine Fellowship Program.</t>
  </si>
  <si>
    <t>Pain Medicine Fellowship Program.</t>
  </si>
  <si>
    <t>Simulation Fellowship Program.</t>
  </si>
  <si>
    <t>Sleep Medicine Fellowship Program.</t>
  </si>
  <si>
    <t>Sports Medicine Fellowship Program.</t>
  </si>
  <si>
    <t>Surgery of the Hand Fellowship Program.</t>
  </si>
  <si>
    <t>Telemedicine Fellowship Program.</t>
  </si>
  <si>
    <t>Undersea and Hyperbaric Medicine Fellowship Program.</t>
  </si>
  <si>
    <t>Wilderness Medicine Fellowship Program.</t>
  </si>
  <si>
    <t>Women's Health Fellowship Program.</t>
  </si>
  <si>
    <t>Multiple-Pathway Medical Fellowship Programs, Other.</t>
  </si>
  <si>
    <t>Allergy and Immunology Residency/Fellowship Programs.</t>
  </si>
  <si>
    <t>Allergy and Immunology Fellowship Program.</t>
  </si>
  <si>
    <t>Allergy and Immunology Residency/Fellowship Programs, Other.</t>
  </si>
  <si>
    <t>Anesthesiology Residency/Fellowship Programs.</t>
  </si>
  <si>
    <t>Anesthesiology Residency/Fellowship Programs, Other.</t>
  </si>
  <si>
    <t>Dermatology Residency/Fellowship Programs.</t>
  </si>
  <si>
    <t>Dermatopathology Fellowship Program.</t>
  </si>
  <si>
    <t>Pediatric Dermatology Fellowship Program.</t>
  </si>
  <si>
    <t>Dermatology Residency/Fellowship Programs, Other.</t>
  </si>
  <si>
    <t>Emergency Medicine Residency/Fellowship Programs.</t>
  </si>
  <si>
    <t>Disaster Medicine Fellowship Program.</t>
  </si>
  <si>
    <t>Emergency Medical Services Fellowship Program.</t>
  </si>
  <si>
    <t>Emergency Medicine Residency/Fellowship Programs, Other.</t>
  </si>
  <si>
    <t>Family Medicine Residency/Fellowship Programs.</t>
  </si>
  <si>
    <t>Family Medicine Residency/Fellowship Programs, Other.</t>
  </si>
  <si>
    <t>Internal Medicine Residency/Fellowship Programs.</t>
  </si>
  <si>
    <t>Cardiovascular Disease Fellowship Program.</t>
  </si>
  <si>
    <t>Clinical Cardiac Electrophysiology Fellowship Program.</t>
  </si>
  <si>
    <t>Endocrinology, Diabetes, and Metabolism Fellowship Program.</t>
  </si>
  <si>
    <t>Gastroenterology Fellowship Program.</t>
  </si>
  <si>
    <t>Hematology Fellowship Program.</t>
  </si>
  <si>
    <t>Hematology-Oncology Fellowship Program.</t>
  </si>
  <si>
    <t>Infectious Disease Fellowship Program.</t>
  </si>
  <si>
    <t>Interventional Cardiology Fellowship Program.</t>
  </si>
  <si>
    <t>Nephrology Fellowship Program.</t>
  </si>
  <si>
    <t>Medical Oncology Fellowship Program.</t>
  </si>
  <si>
    <t>Pulmonary Disease Fellowship Program.</t>
  </si>
  <si>
    <t>Rheumatology Fellowship Program.</t>
  </si>
  <si>
    <t>Transplant Hepatology Fellowship Program.</t>
  </si>
  <si>
    <t>Internal Medicine Residency/Fellowship Programs, Other.</t>
  </si>
  <si>
    <t>Medical Genetics and Genomics Residency/Fellowship Programs.</t>
  </si>
  <si>
    <t>Clinical Genetics and Genomics Residency Program.</t>
  </si>
  <si>
    <t>Laboratory Genetics and Genomics Residency Program.</t>
  </si>
  <si>
    <t>Medical Genetics and Genomics Residency/Fellowship Programs, Other.</t>
  </si>
  <si>
    <t>Neurological Surgery Residency/Fellowship Programs.</t>
  </si>
  <si>
    <t>Neurological Surgery Residency/Fellowship Programs, Other.</t>
  </si>
  <si>
    <t>Neurology Residency/Fellowship Programs.</t>
  </si>
  <si>
    <t>Clinical Neurophysiology Fellowship Program.</t>
  </si>
  <si>
    <t>Epilepsy Fellowship Program.</t>
  </si>
  <si>
    <t>Headache Medicine Fellowship Program.</t>
  </si>
  <si>
    <t>Neurodevelopmental Disabilities Fellowship Program.</t>
  </si>
  <si>
    <t>Vascular Neurology Fellowship Program.</t>
  </si>
  <si>
    <t>Neurology Residency/Fellowship Programs, Other.</t>
  </si>
  <si>
    <t>Nuclear Medicine Residency/Fellowship Programs.</t>
  </si>
  <si>
    <t>Nuclear Medicine Residency/Fellowship Programs, Other.</t>
  </si>
  <si>
    <t>Obstetrics and Gynecology Residency/Fellowship Programs.</t>
  </si>
  <si>
    <t>Gynecologic Oncology Fellowship Program.</t>
  </si>
  <si>
    <t>Maternal and Fetal Medicine Fellowship Program.</t>
  </si>
  <si>
    <t>Reproductive Endocrinology/Infertility Fellowship Program.</t>
  </si>
  <si>
    <t>Obstetrics and Gynecology Residency/Fellowship Programs, Other.</t>
  </si>
  <si>
    <t>Ophthalmology Residency/Fellowship Programs.</t>
  </si>
  <si>
    <t>Ophthalmology Residency/Fellowship Programs, Other.</t>
  </si>
  <si>
    <t>Orthopedic Surgery Residency/Fellowship Programs.</t>
  </si>
  <si>
    <t>Musculoskeletal Oncology Fellowship Program.</t>
  </si>
  <si>
    <t>Orthopedic Sports Medicine Fellowship Program.</t>
  </si>
  <si>
    <t>Orthopedic Surgery of the Spine Fellowship Program.</t>
  </si>
  <si>
    <t>Pediatric Orthopedics Fellowship Program.</t>
  </si>
  <si>
    <t>Orthopedic Surgery Residency/Fellowship Programs, Other.</t>
  </si>
  <si>
    <t>Osteopathic Medicine Residency/Fellowship Programs.</t>
  </si>
  <si>
    <t>Osteopathic Neuromusculoskeletal Medicine Residency Program.</t>
  </si>
  <si>
    <t>Osteopathic Medicine Residency/Fellowship Programs, Other.</t>
  </si>
  <si>
    <t>Otolaryngology Residency/Fellowship Programs.</t>
  </si>
  <si>
    <t>Neurotology Fellowship Program.</t>
  </si>
  <si>
    <t>Pediatric Otolaryngology Fellowship Program.</t>
  </si>
  <si>
    <t>Otolaryngology Residency/Fellowship Programs, Other.</t>
  </si>
  <si>
    <t>Pathology Residency/Fellowship Programs.</t>
  </si>
  <si>
    <t>Combined Anatomic and Clinical Pathology Residency Program.</t>
  </si>
  <si>
    <t>Anatomic Pathology Residency Program.</t>
  </si>
  <si>
    <t>Clinical Pathology Residency Program.</t>
  </si>
  <si>
    <t>Blood Banking/Transfusion Medicine Fellowship Program.</t>
  </si>
  <si>
    <t>Chemical Pathology Fellowship Program.</t>
  </si>
  <si>
    <t>Cytopathology Fellowship Program.</t>
  </si>
  <si>
    <t>Forensic Pathology Fellowship Program.</t>
  </si>
  <si>
    <t>Hematological Pathology Fellowship Program.</t>
  </si>
  <si>
    <t>Immunopathology Fellowship Program.</t>
  </si>
  <si>
    <t>Laboratory Medicine Fellowship Program.</t>
  </si>
  <si>
    <t>Medical Microbiology Fellowship Program.</t>
  </si>
  <si>
    <t>Molecular Genetic Pathology Fellowship Program.</t>
  </si>
  <si>
    <t>Neuropathology Fellowship Program.</t>
  </si>
  <si>
    <t>Pediatric Pathology Fellowship Program.</t>
  </si>
  <si>
    <t>Radioisotopic Pathology Fellowship Program.</t>
  </si>
  <si>
    <t>Pathology Residency/Fellowship Programs, Other.</t>
  </si>
  <si>
    <t>Pediatrics Residency/Fellowship Programs.</t>
  </si>
  <si>
    <t>Adolescent Medicine Fellowship Program.</t>
  </si>
  <si>
    <t>Child Abuse Pediatrics Fellowship Program.</t>
  </si>
  <si>
    <t>Developmental-Behavioral Pediatrics Fellowship Program.</t>
  </si>
  <si>
    <t>Neonatal-Perinatal Medicine Fellowship Program.</t>
  </si>
  <si>
    <t>Pediatric Cardiology Fellowship Program.</t>
  </si>
  <si>
    <t>Pediatric Critical Care Medicine Fellowship Program.</t>
  </si>
  <si>
    <t>Pediatric Emergency Medicine Fellowship Program.</t>
  </si>
  <si>
    <t>Pediatric Endocrinology Fellowship Program.</t>
  </si>
  <si>
    <t>Pediatric Gastroenterology Fellowship Program.</t>
  </si>
  <si>
    <t>Pediatric Hematology-Oncology Fellowship Program.</t>
  </si>
  <si>
    <t>Pediatric Infectious Diseases Fellowship Program.</t>
  </si>
  <si>
    <t>Pediatric Nephrology Fellowship Program.</t>
  </si>
  <si>
    <t>Pediatric Pulmonology Fellowship Program.</t>
  </si>
  <si>
    <t>Pediatric Rheumatology Fellowship Program.</t>
  </si>
  <si>
    <t>Pediatric Transplant Hepatology Fellowship Program.</t>
  </si>
  <si>
    <t>Pediatrics Residency/Fellowship Programs, Other.</t>
  </si>
  <si>
    <t>Physical Medicine and Rehabilitation Residency/Fellowship Programs.</t>
  </si>
  <si>
    <t>Spinal Cord Injury Medicine Fellowship Program.</t>
  </si>
  <si>
    <t>Pediatric Rehabilitation Medicine Fellowship Program.</t>
  </si>
  <si>
    <t>Physical Medicine and Rehabilitation Residency/Fellowship Programs, Other.</t>
  </si>
  <si>
    <t>Plastic Surgery Residency/Fellowship Programs.</t>
  </si>
  <si>
    <t>Integrated Plastic Surgery Residency Program.</t>
  </si>
  <si>
    <t>Plastic Surgery Within the Head and Neck Fellowship Program.</t>
  </si>
  <si>
    <t>Plastic Surgery Residency/Fellowship Programs, Other.</t>
  </si>
  <si>
    <t>Podiatric Medicine Residency/Fellowship Programs.</t>
  </si>
  <si>
    <t>Podiatric Medicine and Surgery Residency Program.</t>
  </si>
  <si>
    <t>Podiatric Medicine Residency/Fellowship Programs, Other.</t>
  </si>
  <si>
    <t>Preventive Medicine Residency/Fellowship Programs.</t>
  </si>
  <si>
    <t>Preventive Medicine Residency/Fellowship Programs, Other.</t>
  </si>
  <si>
    <t>Psychiatry Residency/Fellowship Programs.</t>
  </si>
  <si>
    <t>Addiction Psychiatry Fellowship Program.</t>
  </si>
  <si>
    <t>Child and Adolescent Psychiatry Fellowship Program.</t>
  </si>
  <si>
    <t>Consultation-Liaison Psychiatry Fellowship Program.</t>
  </si>
  <si>
    <t>Forensic Psychiatry Fellowship Program.</t>
  </si>
  <si>
    <t>Geriatric Psychiatry Fellowship Program.</t>
  </si>
  <si>
    <t>Psychiatry Residency/Fellowship Programs, Other.</t>
  </si>
  <si>
    <t>Radiation Oncology Residency/Fellowship Programs.</t>
  </si>
  <si>
    <t>Radiation Oncology Residency/Fellowship Programs, Other.</t>
  </si>
  <si>
    <t>Radiology Residency/Fellowship Programs.</t>
  </si>
  <si>
    <t>Integrated Interventional Radiology Residency Program.</t>
  </si>
  <si>
    <t>Abdominal Radiology Fellowship Program.</t>
  </si>
  <si>
    <t>Musculoskeletal Radiology Fellowship Program.</t>
  </si>
  <si>
    <t>Neuroradiology Fellowship Program.</t>
  </si>
  <si>
    <t>Nuclear Radiology Fellowship Program.</t>
  </si>
  <si>
    <t>Pediatric Radiology Fellowship Program.</t>
  </si>
  <si>
    <t>Vascular and Interventional Radiology Fellowship Program.</t>
  </si>
  <si>
    <t>Radiology Residency/Fellowship Programs, Other.</t>
  </si>
  <si>
    <t>Surgery Residency/Fellowship Programs.</t>
  </si>
  <si>
    <t>Complex General Surgical Oncology Fellowship Program.</t>
  </si>
  <si>
    <t>Congenital Cardiac Surgery Fellowship Program.</t>
  </si>
  <si>
    <t>Pediatric Surgery Fellowship Program.</t>
  </si>
  <si>
    <t>Surgical Critical Care Fellowship Program.</t>
  </si>
  <si>
    <t>Thoracic Surgery Fellowship Program.</t>
  </si>
  <si>
    <t>Vascular Surgery Fellowship Program.</t>
  </si>
  <si>
    <t>Surgery Residency/Fellowship Programs, Other.</t>
  </si>
  <si>
    <t>Urology Residency/Fellowship Programs.</t>
  </si>
  <si>
    <t>Pediatric Urology Fellowship Program.</t>
  </si>
  <si>
    <t>Urology Residency/Fellowship Programs, Other.</t>
  </si>
  <si>
    <t>Medical Residency/Fellowship Programs, Other.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</si>
</sst>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49"/>
  <sheetViews>
    <sheetView tabSelected="1" workbookViewId="0">
      <selection activeCell="B2" sqref="B2"/>
    </sheetView>
  </sheetViews>
  <sheetFormatPr defaultRowHeight="15" x14ac:dyDescent="0.25"/>
  <cols>
    <col min="1" max="1" width="14.28515625" customWidth="1"/>
    <col min="2" max="2" width="13.140625" customWidth="1"/>
    <col min="3" max="3" width="111.5703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tr">
        <f>"01"</f>
        <v>01</v>
      </c>
      <c r="B2" t="str">
        <f>"01"</f>
        <v>01</v>
      </c>
      <c r="C2" t="s">
        <v>3</v>
      </c>
    </row>
    <row r="3" spans="1:3" x14ac:dyDescent="0.25">
      <c r="A3" t="str">
        <f t="shared" ref="A3:A34" si="0">"01"</f>
        <v>01</v>
      </c>
      <c r="B3" t="str">
        <f>"01.00"</f>
        <v>01.00</v>
      </c>
      <c r="C3" t="s">
        <v>4</v>
      </c>
    </row>
    <row r="4" spans="1:3" x14ac:dyDescent="0.25">
      <c r="A4" t="str">
        <f t="shared" si="0"/>
        <v>01</v>
      </c>
      <c r="B4" t="str">
        <f>"01.0000"</f>
        <v>01.0000</v>
      </c>
      <c r="C4" t="s">
        <v>4</v>
      </c>
    </row>
    <row r="5" spans="1:3" x14ac:dyDescent="0.25">
      <c r="A5" t="str">
        <f t="shared" si="0"/>
        <v>01</v>
      </c>
      <c r="B5" t="str">
        <f>"01.01"</f>
        <v>01.01</v>
      </c>
      <c r="C5" t="s">
        <v>5</v>
      </c>
    </row>
    <row r="6" spans="1:3" x14ac:dyDescent="0.25">
      <c r="A6" t="str">
        <f t="shared" si="0"/>
        <v>01</v>
      </c>
      <c r="B6" t="str">
        <f>"01.0101"</f>
        <v>01.0101</v>
      </c>
      <c r="C6" t="s">
        <v>6</v>
      </c>
    </row>
    <row r="7" spans="1:3" x14ac:dyDescent="0.25">
      <c r="A7" t="str">
        <f t="shared" si="0"/>
        <v>01</v>
      </c>
      <c r="B7" t="str">
        <f>"01.0102"</f>
        <v>01.0102</v>
      </c>
      <c r="C7" t="s">
        <v>7</v>
      </c>
    </row>
    <row r="8" spans="1:3" x14ac:dyDescent="0.25">
      <c r="A8" t="str">
        <f t="shared" si="0"/>
        <v>01</v>
      </c>
      <c r="B8" t="str">
        <f>"01.0103"</f>
        <v>01.0103</v>
      </c>
      <c r="C8" t="s">
        <v>8</v>
      </c>
    </row>
    <row r="9" spans="1:3" x14ac:dyDescent="0.25">
      <c r="A9" t="str">
        <f t="shared" si="0"/>
        <v>01</v>
      </c>
      <c r="B9" t="str">
        <f>"01.0104"</f>
        <v>01.0104</v>
      </c>
      <c r="C9" t="s">
        <v>9</v>
      </c>
    </row>
    <row r="10" spans="1:3" x14ac:dyDescent="0.25">
      <c r="A10" t="str">
        <f t="shared" si="0"/>
        <v>01</v>
      </c>
      <c r="B10" t="str">
        <f>"01.0105"</f>
        <v>01.0105</v>
      </c>
      <c r="C10" t="s">
        <v>10</v>
      </c>
    </row>
    <row r="11" spans="1:3" x14ac:dyDescent="0.25">
      <c r="A11" t="str">
        <f t="shared" si="0"/>
        <v>01</v>
      </c>
      <c r="B11" t="str">
        <f>"01.0106"</f>
        <v>01.0106</v>
      </c>
      <c r="C11" t="s">
        <v>11</v>
      </c>
    </row>
    <row r="12" spans="1:3" x14ac:dyDescent="0.25">
      <c r="A12" t="str">
        <f t="shared" si="0"/>
        <v>01</v>
      </c>
      <c r="B12" t="str">
        <f>"01.0199"</f>
        <v>01.0199</v>
      </c>
      <c r="C12" t="s">
        <v>12</v>
      </c>
    </row>
    <row r="13" spans="1:3" x14ac:dyDescent="0.25">
      <c r="A13" t="str">
        <f t="shared" si="0"/>
        <v>01</v>
      </c>
      <c r="B13" t="str">
        <f>"01.02"</f>
        <v>01.02</v>
      </c>
      <c r="C13" t="s">
        <v>13</v>
      </c>
    </row>
    <row r="14" spans="1:3" x14ac:dyDescent="0.25">
      <c r="A14" t="str">
        <f t="shared" si="0"/>
        <v>01</v>
      </c>
      <c r="B14" t="str">
        <f>"01.0201"</f>
        <v>01.0201</v>
      </c>
      <c r="C14" t="s">
        <v>14</v>
      </c>
    </row>
    <row r="15" spans="1:3" x14ac:dyDescent="0.25">
      <c r="A15" t="str">
        <f t="shared" si="0"/>
        <v>01</v>
      </c>
      <c r="B15" t="str">
        <f>"01.0204"</f>
        <v>01.0204</v>
      </c>
      <c r="C15" t="s">
        <v>15</v>
      </c>
    </row>
    <row r="16" spans="1:3" x14ac:dyDescent="0.25">
      <c r="A16" t="str">
        <f t="shared" si="0"/>
        <v>01</v>
      </c>
      <c r="B16" t="str">
        <f>"01.0205"</f>
        <v>01.0205</v>
      </c>
      <c r="C16" t="s">
        <v>16</v>
      </c>
    </row>
    <row r="17" spans="1:3" x14ac:dyDescent="0.25">
      <c r="A17" t="str">
        <f t="shared" si="0"/>
        <v>01</v>
      </c>
      <c r="B17" t="str">
        <f>"01.0207"</f>
        <v>01.0207</v>
      </c>
      <c r="C17" t="s">
        <v>17</v>
      </c>
    </row>
    <row r="18" spans="1:3" x14ac:dyDescent="0.25">
      <c r="A18" t="str">
        <f t="shared" si="0"/>
        <v>01</v>
      </c>
      <c r="B18" t="str">
        <f>"01.0299"</f>
        <v>01.0299</v>
      </c>
      <c r="C18" t="s">
        <v>18</v>
      </c>
    </row>
    <row r="19" spans="1:3" x14ac:dyDescent="0.25">
      <c r="A19" t="str">
        <f t="shared" si="0"/>
        <v>01</v>
      </c>
      <c r="B19" t="str">
        <f>"01.03"</f>
        <v>01.03</v>
      </c>
      <c r="C19" t="s">
        <v>19</v>
      </c>
    </row>
    <row r="20" spans="1:3" x14ac:dyDescent="0.25">
      <c r="A20" t="str">
        <f t="shared" si="0"/>
        <v>01</v>
      </c>
      <c r="B20" t="str">
        <f>"01.0301"</f>
        <v>01.0301</v>
      </c>
      <c r="C20" t="s">
        <v>20</v>
      </c>
    </row>
    <row r="21" spans="1:3" x14ac:dyDescent="0.25">
      <c r="A21" t="str">
        <f t="shared" si="0"/>
        <v>01</v>
      </c>
      <c r="B21" t="str">
        <f>"01.0302"</f>
        <v>01.0302</v>
      </c>
      <c r="C21" t="s">
        <v>21</v>
      </c>
    </row>
    <row r="22" spans="1:3" x14ac:dyDescent="0.25">
      <c r="A22" t="str">
        <f t="shared" si="0"/>
        <v>01</v>
      </c>
      <c r="B22" t="str">
        <f>"01.0303"</f>
        <v>01.0303</v>
      </c>
      <c r="C22" t="s">
        <v>22</v>
      </c>
    </row>
    <row r="23" spans="1:3" x14ac:dyDescent="0.25">
      <c r="A23" t="str">
        <f t="shared" si="0"/>
        <v>01</v>
      </c>
      <c r="B23" t="str">
        <f>"01.0304"</f>
        <v>01.0304</v>
      </c>
      <c r="C23" t="s">
        <v>23</v>
      </c>
    </row>
    <row r="24" spans="1:3" x14ac:dyDescent="0.25">
      <c r="A24" t="str">
        <f t="shared" si="0"/>
        <v>01</v>
      </c>
      <c r="B24" t="str">
        <f>"01.0306"</f>
        <v>01.0306</v>
      </c>
      <c r="C24" t="s">
        <v>24</v>
      </c>
    </row>
    <row r="25" spans="1:3" x14ac:dyDescent="0.25">
      <c r="A25" t="str">
        <f t="shared" si="0"/>
        <v>01</v>
      </c>
      <c r="B25" t="str">
        <f>"01.0307"</f>
        <v>01.0307</v>
      </c>
      <c r="C25" t="s">
        <v>25</v>
      </c>
    </row>
    <row r="26" spans="1:3" x14ac:dyDescent="0.25">
      <c r="A26" t="str">
        <f t="shared" si="0"/>
        <v>01</v>
      </c>
      <c r="B26" t="str">
        <f>"01.0308"</f>
        <v>01.0308</v>
      </c>
      <c r="C26" t="s">
        <v>26</v>
      </c>
    </row>
    <row r="27" spans="1:3" x14ac:dyDescent="0.25">
      <c r="A27" t="str">
        <f t="shared" si="0"/>
        <v>01</v>
      </c>
      <c r="B27" t="str">
        <f>"01.0309"</f>
        <v>01.0309</v>
      </c>
      <c r="C27" t="s">
        <v>27</v>
      </c>
    </row>
    <row r="28" spans="1:3" x14ac:dyDescent="0.25">
      <c r="A28" t="str">
        <f t="shared" si="0"/>
        <v>01</v>
      </c>
      <c r="B28" t="str">
        <f>"01.0310"</f>
        <v>01.0310</v>
      </c>
      <c r="C28" t="s">
        <v>28</v>
      </c>
    </row>
    <row r="29" spans="1:3" x14ac:dyDescent="0.25">
      <c r="A29" t="str">
        <f t="shared" si="0"/>
        <v>01</v>
      </c>
      <c r="B29" t="str">
        <f>"01.0399"</f>
        <v>01.0399</v>
      </c>
      <c r="C29" t="s">
        <v>29</v>
      </c>
    </row>
    <row r="30" spans="1:3" x14ac:dyDescent="0.25">
      <c r="A30" t="str">
        <f t="shared" si="0"/>
        <v>01</v>
      </c>
      <c r="B30" t="str">
        <f>"01.04"</f>
        <v>01.04</v>
      </c>
      <c r="C30" t="s">
        <v>30</v>
      </c>
    </row>
    <row r="31" spans="1:3" x14ac:dyDescent="0.25">
      <c r="A31" t="str">
        <f t="shared" si="0"/>
        <v>01</v>
      </c>
      <c r="B31" t="str">
        <f>"01.0401"</f>
        <v>01.0401</v>
      </c>
      <c r="C31" t="s">
        <v>30</v>
      </c>
    </row>
    <row r="32" spans="1:3" x14ac:dyDescent="0.25">
      <c r="A32" t="str">
        <f t="shared" si="0"/>
        <v>01</v>
      </c>
      <c r="B32" t="str">
        <f>"01.0480"</f>
        <v>01.0480</v>
      </c>
      <c r="C32" t="s">
        <v>31</v>
      </c>
    </row>
    <row r="33" spans="1:3" x14ac:dyDescent="0.25">
      <c r="A33" t="str">
        <f t="shared" si="0"/>
        <v>01</v>
      </c>
      <c r="B33" t="str">
        <f>"01.05"</f>
        <v>01.05</v>
      </c>
      <c r="C33" t="s">
        <v>32</v>
      </c>
    </row>
    <row r="34" spans="1:3" x14ac:dyDescent="0.25">
      <c r="A34" t="str">
        <f t="shared" si="0"/>
        <v>01</v>
      </c>
      <c r="B34" t="str">
        <f>"01.0504"</f>
        <v>01.0504</v>
      </c>
      <c r="C34" t="s">
        <v>33</v>
      </c>
    </row>
    <row r="35" spans="1:3" x14ac:dyDescent="0.25">
      <c r="A35" t="str">
        <f t="shared" ref="A35:A66" si="1">"01"</f>
        <v>01</v>
      </c>
      <c r="B35" t="str">
        <f>"01.0505"</f>
        <v>01.0505</v>
      </c>
      <c r="C35" t="s">
        <v>34</v>
      </c>
    </row>
    <row r="36" spans="1:3" x14ac:dyDescent="0.25">
      <c r="A36" t="str">
        <f t="shared" si="1"/>
        <v>01</v>
      </c>
      <c r="B36" t="str">
        <f>"01.0507"</f>
        <v>01.0507</v>
      </c>
      <c r="C36" t="s">
        <v>35</v>
      </c>
    </row>
    <row r="37" spans="1:3" x14ac:dyDescent="0.25">
      <c r="A37" t="str">
        <f t="shared" si="1"/>
        <v>01</v>
      </c>
      <c r="B37" t="str">
        <f>"01.0508"</f>
        <v>01.0508</v>
      </c>
      <c r="C37" t="s">
        <v>36</v>
      </c>
    </row>
    <row r="38" spans="1:3" x14ac:dyDescent="0.25">
      <c r="A38" t="str">
        <f t="shared" si="1"/>
        <v>01</v>
      </c>
      <c r="B38" t="str">
        <f>"01.0509"</f>
        <v>01.0509</v>
      </c>
      <c r="C38" t="s">
        <v>37</v>
      </c>
    </row>
    <row r="39" spans="1:3" x14ac:dyDescent="0.25">
      <c r="A39" t="str">
        <f t="shared" si="1"/>
        <v>01</v>
      </c>
      <c r="B39" t="str">
        <f>"01.0599"</f>
        <v>01.0599</v>
      </c>
      <c r="C39" t="s">
        <v>38</v>
      </c>
    </row>
    <row r="40" spans="1:3" x14ac:dyDescent="0.25">
      <c r="A40" t="str">
        <f t="shared" si="1"/>
        <v>01</v>
      </c>
      <c r="B40" t="str">
        <f>"01.06"</f>
        <v>01.06</v>
      </c>
      <c r="C40" t="s">
        <v>39</v>
      </c>
    </row>
    <row r="41" spans="1:3" x14ac:dyDescent="0.25">
      <c r="A41" t="str">
        <f t="shared" si="1"/>
        <v>01</v>
      </c>
      <c r="B41" t="str">
        <f>"01.0601"</f>
        <v>01.0601</v>
      </c>
      <c r="C41" t="s">
        <v>40</v>
      </c>
    </row>
    <row r="42" spans="1:3" x14ac:dyDescent="0.25">
      <c r="A42" t="str">
        <f t="shared" si="1"/>
        <v>01</v>
      </c>
      <c r="B42" t="str">
        <f>"01.0603"</f>
        <v>01.0603</v>
      </c>
      <c r="C42" t="s">
        <v>41</v>
      </c>
    </row>
    <row r="43" spans="1:3" x14ac:dyDescent="0.25">
      <c r="A43" t="str">
        <f t="shared" si="1"/>
        <v>01</v>
      </c>
      <c r="B43" t="str">
        <f>"01.0604"</f>
        <v>01.0604</v>
      </c>
      <c r="C43" t="s">
        <v>42</v>
      </c>
    </row>
    <row r="44" spans="1:3" x14ac:dyDescent="0.25">
      <c r="A44" t="str">
        <f t="shared" si="1"/>
        <v>01</v>
      </c>
      <c r="B44" t="str">
        <f>"01.0605"</f>
        <v>01.0605</v>
      </c>
      <c r="C44" t="s">
        <v>43</v>
      </c>
    </row>
    <row r="45" spans="1:3" x14ac:dyDescent="0.25">
      <c r="A45" t="str">
        <f t="shared" si="1"/>
        <v>01</v>
      </c>
      <c r="B45" t="str">
        <f>"01.0606"</f>
        <v>01.0606</v>
      </c>
      <c r="C45" t="s">
        <v>44</v>
      </c>
    </row>
    <row r="46" spans="1:3" x14ac:dyDescent="0.25">
      <c r="A46" t="str">
        <f t="shared" si="1"/>
        <v>01</v>
      </c>
      <c r="B46" t="str">
        <f>"01.0607"</f>
        <v>01.0607</v>
      </c>
      <c r="C46" t="s">
        <v>45</v>
      </c>
    </row>
    <row r="47" spans="1:3" x14ac:dyDescent="0.25">
      <c r="A47" t="str">
        <f t="shared" si="1"/>
        <v>01</v>
      </c>
      <c r="B47" t="str">
        <f>"01.0608"</f>
        <v>01.0608</v>
      </c>
      <c r="C47" t="s">
        <v>46</v>
      </c>
    </row>
    <row r="48" spans="1:3" x14ac:dyDescent="0.25">
      <c r="A48" t="str">
        <f t="shared" si="1"/>
        <v>01</v>
      </c>
      <c r="B48" t="str">
        <f>"01.0609"</f>
        <v>01.0609</v>
      </c>
      <c r="C48" t="s">
        <v>47</v>
      </c>
    </row>
    <row r="49" spans="1:3" x14ac:dyDescent="0.25">
      <c r="A49" t="str">
        <f t="shared" si="1"/>
        <v>01</v>
      </c>
      <c r="B49" t="str">
        <f>"01.0610"</f>
        <v>01.0610</v>
      </c>
      <c r="C49" t="s">
        <v>48</v>
      </c>
    </row>
    <row r="50" spans="1:3" x14ac:dyDescent="0.25">
      <c r="A50" t="str">
        <f t="shared" si="1"/>
        <v>01</v>
      </c>
      <c r="B50" t="str">
        <f>"01.0680"</f>
        <v>01.0680</v>
      </c>
      <c r="C50" t="s">
        <v>31</v>
      </c>
    </row>
    <row r="51" spans="1:3" x14ac:dyDescent="0.25">
      <c r="A51" t="str">
        <f t="shared" si="1"/>
        <v>01</v>
      </c>
      <c r="B51" t="str">
        <f>"01.0699"</f>
        <v>01.0699</v>
      </c>
      <c r="C51" t="s">
        <v>49</v>
      </c>
    </row>
    <row r="52" spans="1:3" x14ac:dyDescent="0.25">
      <c r="A52" t="str">
        <f t="shared" si="1"/>
        <v>01</v>
      </c>
      <c r="B52" t="str">
        <f>"01.07"</f>
        <v>01.07</v>
      </c>
      <c r="C52" t="s">
        <v>50</v>
      </c>
    </row>
    <row r="53" spans="1:3" x14ac:dyDescent="0.25">
      <c r="A53" t="str">
        <f t="shared" si="1"/>
        <v>01</v>
      </c>
      <c r="B53" t="str">
        <f>"01.0701"</f>
        <v>01.0701</v>
      </c>
      <c r="C53" t="s">
        <v>50</v>
      </c>
    </row>
    <row r="54" spans="1:3" x14ac:dyDescent="0.25">
      <c r="A54" t="str">
        <f t="shared" si="1"/>
        <v>01</v>
      </c>
      <c r="B54" t="str">
        <f>"01.08"</f>
        <v>01.08</v>
      </c>
      <c r="C54" t="s">
        <v>51</v>
      </c>
    </row>
    <row r="55" spans="1:3" x14ac:dyDescent="0.25">
      <c r="A55" t="str">
        <f t="shared" si="1"/>
        <v>01</v>
      </c>
      <c r="B55" t="str">
        <f>"01.0801"</f>
        <v>01.0801</v>
      </c>
      <c r="C55" t="s">
        <v>52</v>
      </c>
    </row>
    <row r="56" spans="1:3" x14ac:dyDescent="0.25">
      <c r="A56" t="str">
        <f t="shared" si="1"/>
        <v>01</v>
      </c>
      <c r="B56" t="str">
        <f>"01.0802"</f>
        <v>01.0802</v>
      </c>
      <c r="C56" t="s">
        <v>53</v>
      </c>
    </row>
    <row r="57" spans="1:3" x14ac:dyDescent="0.25">
      <c r="A57" t="str">
        <f t="shared" si="1"/>
        <v>01</v>
      </c>
      <c r="B57" t="str">
        <f>"01.0899"</f>
        <v>01.0899</v>
      </c>
      <c r="C57" t="s">
        <v>54</v>
      </c>
    </row>
    <row r="58" spans="1:3" x14ac:dyDescent="0.25">
      <c r="A58" t="str">
        <f t="shared" si="1"/>
        <v>01</v>
      </c>
      <c r="B58" t="str">
        <f>"01.09"</f>
        <v>01.09</v>
      </c>
      <c r="C58" t="s">
        <v>55</v>
      </c>
    </row>
    <row r="59" spans="1:3" x14ac:dyDescent="0.25">
      <c r="A59" t="str">
        <f t="shared" si="1"/>
        <v>01</v>
      </c>
      <c r="B59" t="str">
        <f>"01.0901"</f>
        <v>01.0901</v>
      </c>
      <c r="C59" t="s">
        <v>56</v>
      </c>
    </row>
    <row r="60" spans="1:3" x14ac:dyDescent="0.25">
      <c r="A60" t="str">
        <f t="shared" si="1"/>
        <v>01</v>
      </c>
      <c r="B60" t="str">
        <f>"01.0902"</f>
        <v>01.0902</v>
      </c>
      <c r="C60" t="s">
        <v>57</v>
      </c>
    </row>
    <row r="61" spans="1:3" x14ac:dyDescent="0.25">
      <c r="A61" t="str">
        <f t="shared" si="1"/>
        <v>01</v>
      </c>
      <c r="B61" t="str">
        <f>"01.0903"</f>
        <v>01.0903</v>
      </c>
      <c r="C61" t="s">
        <v>58</v>
      </c>
    </row>
    <row r="62" spans="1:3" x14ac:dyDescent="0.25">
      <c r="A62" t="str">
        <f t="shared" si="1"/>
        <v>01</v>
      </c>
      <c r="B62" t="str">
        <f>"01.0904"</f>
        <v>01.0904</v>
      </c>
      <c r="C62" t="s">
        <v>59</v>
      </c>
    </row>
    <row r="63" spans="1:3" x14ac:dyDescent="0.25">
      <c r="A63" t="str">
        <f t="shared" si="1"/>
        <v>01</v>
      </c>
      <c r="B63" t="str">
        <f>"01.0905"</f>
        <v>01.0905</v>
      </c>
      <c r="C63" t="s">
        <v>60</v>
      </c>
    </row>
    <row r="64" spans="1:3" x14ac:dyDescent="0.25">
      <c r="A64" t="str">
        <f t="shared" si="1"/>
        <v>01</v>
      </c>
      <c r="B64" t="str">
        <f>"01.0906"</f>
        <v>01.0906</v>
      </c>
      <c r="C64" t="s">
        <v>61</v>
      </c>
    </row>
    <row r="65" spans="1:3" x14ac:dyDescent="0.25">
      <c r="A65" t="str">
        <f t="shared" si="1"/>
        <v>01</v>
      </c>
      <c r="B65" t="str">
        <f>"01.0907"</f>
        <v>01.0907</v>
      </c>
      <c r="C65" t="s">
        <v>62</v>
      </c>
    </row>
    <row r="66" spans="1:3" x14ac:dyDescent="0.25">
      <c r="A66" t="str">
        <f t="shared" si="1"/>
        <v>01</v>
      </c>
      <c r="B66" t="str">
        <f>"01.0999"</f>
        <v>01.0999</v>
      </c>
      <c r="C66" t="s">
        <v>63</v>
      </c>
    </row>
    <row r="67" spans="1:3" x14ac:dyDescent="0.25">
      <c r="A67" t="str">
        <f t="shared" ref="A67:A98" si="2">"01"</f>
        <v>01</v>
      </c>
      <c r="B67" t="str">
        <f>"01.10"</f>
        <v>01.10</v>
      </c>
      <c r="C67" t="s">
        <v>64</v>
      </c>
    </row>
    <row r="68" spans="1:3" x14ac:dyDescent="0.25">
      <c r="A68" t="str">
        <f t="shared" si="2"/>
        <v>01</v>
      </c>
      <c r="B68" t="str">
        <f>"01.1001"</f>
        <v>01.1001</v>
      </c>
      <c r="C68" t="s">
        <v>65</v>
      </c>
    </row>
    <row r="69" spans="1:3" x14ac:dyDescent="0.25">
      <c r="A69" t="str">
        <f t="shared" si="2"/>
        <v>01</v>
      </c>
      <c r="B69" t="str">
        <f>"01.1002"</f>
        <v>01.1002</v>
      </c>
      <c r="C69" t="s">
        <v>66</v>
      </c>
    </row>
    <row r="70" spans="1:3" x14ac:dyDescent="0.25">
      <c r="A70" t="str">
        <f t="shared" si="2"/>
        <v>01</v>
      </c>
      <c r="B70" t="str">
        <f>"01.1003"</f>
        <v>01.1003</v>
      </c>
      <c r="C70" t="s">
        <v>67</v>
      </c>
    </row>
    <row r="71" spans="1:3" x14ac:dyDescent="0.25">
      <c r="A71" t="str">
        <f t="shared" si="2"/>
        <v>01</v>
      </c>
      <c r="B71" t="str">
        <f>"01.1004"</f>
        <v>01.1004</v>
      </c>
      <c r="C71" t="s">
        <v>27</v>
      </c>
    </row>
    <row r="72" spans="1:3" x14ac:dyDescent="0.25">
      <c r="A72" t="str">
        <f t="shared" si="2"/>
        <v>01</v>
      </c>
      <c r="B72" t="str">
        <f>"01.1005"</f>
        <v>01.1005</v>
      </c>
      <c r="C72" t="s">
        <v>68</v>
      </c>
    </row>
    <row r="73" spans="1:3" x14ac:dyDescent="0.25">
      <c r="A73" t="str">
        <f t="shared" si="2"/>
        <v>01</v>
      </c>
      <c r="B73" t="str">
        <f>"01.1099"</f>
        <v>01.1099</v>
      </c>
      <c r="C73" t="s">
        <v>69</v>
      </c>
    </row>
    <row r="74" spans="1:3" x14ac:dyDescent="0.25">
      <c r="A74" t="str">
        <f t="shared" si="2"/>
        <v>01</v>
      </c>
      <c r="B74" t="str">
        <f>"01.11"</f>
        <v>01.11</v>
      </c>
      <c r="C74" t="s">
        <v>70</v>
      </c>
    </row>
    <row r="75" spans="1:3" x14ac:dyDescent="0.25">
      <c r="A75" t="str">
        <f t="shared" si="2"/>
        <v>01</v>
      </c>
      <c r="B75" t="str">
        <f>"01.1101"</f>
        <v>01.1101</v>
      </c>
      <c r="C75" t="s">
        <v>71</v>
      </c>
    </row>
    <row r="76" spans="1:3" x14ac:dyDescent="0.25">
      <c r="A76" t="str">
        <f t="shared" si="2"/>
        <v>01</v>
      </c>
      <c r="B76" t="str">
        <f>"01.1102"</f>
        <v>01.1102</v>
      </c>
      <c r="C76" t="s">
        <v>72</v>
      </c>
    </row>
    <row r="77" spans="1:3" x14ac:dyDescent="0.25">
      <c r="A77" t="str">
        <f t="shared" si="2"/>
        <v>01</v>
      </c>
      <c r="B77" t="str">
        <f>"01.1103"</f>
        <v>01.1103</v>
      </c>
      <c r="C77" t="s">
        <v>73</v>
      </c>
    </row>
    <row r="78" spans="1:3" x14ac:dyDescent="0.25">
      <c r="A78" t="str">
        <f t="shared" si="2"/>
        <v>01</v>
      </c>
      <c r="B78" t="str">
        <f>"01.1104"</f>
        <v>01.1104</v>
      </c>
      <c r="C78" t="s">
        <v>74</v>
      </c>
    </row>
    <row r="79" spans="1:3" x14ac:dyDescent="0.25">
      <c r="A79" t="str">
        <f t="shared" si="2"/>
        <v>01</v>
      </c>
      <c r="B79" t="str">
        <f>"01.1105"</f>
        <v>01.1105</v>
      </c>
      <c r="C79" t="s">
        <v>75</v>
      </c>
    </row>
    <row r="80" spans="1:3" x14ac:dyDescent="0.25">
      <c r="A80" t="str">
        <f t="shared" si="2"/>
        <v>01</v>
      </c>
      <c r="B80" t="str">
        <f>"01.1106"</f>
        <v>01.1106</v>
      </c>
      <c r="C80" t="s">
        <v>76</v>
      </c>
    </row>
    <row r="81" spans="1:3" x14ac:dyDescent="0.25">
      <c r="A81" t="str">
        <f t="shared" si="2"/>
        <v>01</v>
      </c>
      <c r="B81" t="str">
        <f>"01.1180"</f>
        <v>01.1180</v>
      </c>
      <c r="C81" t="s">
        <v>31</v>
      </c>
    </row>
    <row r="82" spans="1:3" x14ac:dyDescent="0.25">
      <c r="A82" t="str">
        <f t="shared" si="2"/>
        <v>01</v>
      </c>
      <c r="B82" t="str">
        <f>"01.1199"</f>
        <v>01.1199</v>
      </c>
      <c r="C82" t="s">
        <v>77</v>
      </c>
    </row>
    <row r="83" spans="1:3" x14ac:dyDescent="0.25">
      <c r="A83" t="str">
        <f t="shared" si="2"/>
        <v>01</v>
      </c>
      <c r="B83" t="str">
        <f>"01.12"</f>
        <v>01.12</v>
      </c>
      <c r="C83" t="s">
        <v>78</v>
      </c>
    </row>
    <row r="84" spans="1:3" x14ac:dyDescent="0.25">
      <c r="A84" t="str">
        <f t="shared" si="2"/>
        <v>01</v>
      </c>
      <c r="B84" t="str">
        <f>"01.1201"</f>
        <v>01.1201</v>
      </c>
      <c r="C84" t="s">
        <v>79</v>
      </c>
    </row>
    <row r="85" spans="1:3" x14ac:dyDescent="0.25">
      <c r="A85" t="str">
        <f t="shared" si="2"/>
        <v>01</v>
      </c>
      <c r="B85" t="str">
        <f>"01.1202"</f>
        <v>01.1202</v>
      </c>
      <c r="C85" t="s">
        <v>80</v>
      </c>
    </row>
    <row r="86" spans="1:3" x14ac:dyDescent="0.25">
      <c r="A86" t="str">
        <f t="shared" si="2"/>
        <v>01</v>
      </c>
      <c r="B86" t="str">
        <f>"01.1203"</f>
        <v>01.1203</v>
      </c>
      <c r="C86" t="s">
        <v>81</v>
      </c>
    </row>
    <row r="87" spans="1:3" x14ac:dyDescent="0.25">
      <c r="A87" t="str">
        <f t="shared" si="2"/>
        <v>01</v>
      </c>
      <c r="B87" t="str">
        <f>"01.1299"</f>
        <v>01.1299</v>
      </c>
      <c r="C87" t="s">
        <v>82</v>
      </c>
    </row>
    <row r="88" spans="1:3" x14ac:dyDescent="0.25">
      <c r="A88" t="str">
        <f t="shared" si="2"/>
        <v>01</v>
      </c>
      <c r="B88" t="str">
        <f>"01.13"</f>
        <v>01.13</v>
      </c>
      <c r="C88" t="s">
        <v>83</v>
      </c>
    </row>
    <row r="89" spans="1:3" x14ac:dyDescent="0.25">
      <c r="A89" t="str">
        <f t="shared" si="2"/>
        <v>01</v>
      </c>
      <c r="B89" t="str">
        <f>"01.1302"</f>
        <v>01.1302</v>
      </c>
      <c r="C89" t="s">
        <v>84</v>
      </c>
    </row>
    <row r="90" spans="1:3" x14ac:dyDescent="0.25">
      <c r="A90" t="str">
        <f t="shared" si="2"/>
        <v>01</v>
      </c>
      <c r="B90" t="str">
        <f>"01.1399"</f>
        <v>01.1399</v>
      </c>
      <c r="C90" t="s">
        <v>85</v>
      </c>
    </row>
    <row r="91" spans="1:3" x14ac:dyDescent="0.25">
      <c r="A91" t="str">
        <f t="shared" si="2"/>
        <v>01</v>
      </c>
      <c r="B91" t="str">
        <f>"01.80"</f>
        <v>01.80</v>
      </c>
      <c r="C91" t="s">
        <v>86</v>
      </c>
    </row>
    <row r="92" spans="1:3" x14ac:dyDescent="0.25">
      <c r="A92" t="str">
        <f t="shared" si="2"/>
        <v>01</v>
      </c>
      <c r="B92" t="str">
        <f>"01.8001"</f>
        <v>01.8001</v>
      </c>
      <c r="C92" t="s">
        <v>86</v>
      </c>
    </row>
    <row r="93" spans="1:3" x14ac:dyDescent="0.25">
      <c r="A93" t="str">
        <f t="shared" si="2"/>
        <v>01</v>
      </c>
      <c r="B93" t="str">
        <f>"01.81"</f>
        <v>01.81</v>
      </c>
      <c r="C93" t="s">
        <v>87</v>
      </c>
    </row>
    <row r="94" spans="1:3" x14ac:dyDescent="0.25">
      <c r="A94" t="str">
        <f t="shared" si="2"/>
        <v>01</v>
      </c>
      <c r="B94" t="str">
        <f>"01.8101"</f>
        <v>01.8101</v>
      </c>
      <c r="C94" t="s">
        <v>88</v>
      </c>
    </row>
    <row r="95" spans="1:3" x14ac:dyDescent="0.25">
      <c r="A95" t="str">
        <f t="shared" si="2"/>
        <v>01</v>
      </c>
      <c r="B95" t="str">
        <f>"01.8102"</f>
        <v>01.8102</v>
      </c>
      <c r="C95" t="s">
        <v>89</v>
      </c>
    </row>
    <row r="96" spans="1:3" x14ac:dyDescent="0.25">
      <c r="A96" t="str">
        <f t="shared" si="2"/>
        <v>01</v>
      </c>
      <c r="B96" t="str">
        <f>"01.8103"</f>
        <v>01.8103</v>
      </c>
      <c r="C96" t="s">
        <v>90</v>
      </c>
    </row>
    <row r="97" spans="1:3" x14ac:dyDescent="0.25">
      <c r="A97" t="str">
        <f t="shared" si="2"/>
        <v>01</v>
      </c>
      <c r="B97" t="str">
        <f>"01.8104"</f>
        <v>01.8104</v>
      </c>
      <c r="C97" t="s">
        <v>91</v>
      </c>
    </row>
    <row r="98" spans="1:3" x14ac:dyDescent="0.25">
      <c r="A98" t="str">
        <f t="shared" si="2"/>
        <v>01</v>
      </c>
      <c r="B98" t="str">
        <f>"01.8105"</f>
        <v>01.8105</v>
      </c>
      <c r="C98" t="s">
        <v>92</v>
      </c>
    </row>
    <row r="99" spans="1:3" x14ac:dyDescent="0.25">
      <c r="A99" t="str">
        <f t="shared" ref="A99:A116" si="3">"01"</f>
        <v>01</v>
      </c>
      <c r="B99" t="str">
        <f>"01.8106"</f>
        <v>01.8106</v>
      </c>
      <c r="C99" t="s">
        <v>93</v>
      </c>
    </row>
    <row r="100" spans="1:3" x14ac:dyDescent="0.25">
      <c r="A100" t="str">
        <f t="shared" si="3"/>
        <v>01</v>
      </c>
      <c r="B100" t="str">
        <f>"01.8107"</f>
        <v>01.8107</v>
      </c>
      <c r="C100" t="s">
        <v>94</v>
      </c>
    </row>
    <row r="101" spans="1:3" x14ac:dyDescent="0.25">
      <c r="A101" t="str">
        <f t="shared" si="3"/>
        <v>01</v>
      </c>
      <c r="B101" t="str">
        <f>"01.8108"</f>
        <v>01.8108</v>
      </c>
      <c r="C101" t="s">
        <v>95</v>
      </c>
    </row>
    <row r="102" spans="1:3" x14ac:dyDescent="0.25">
      <c r="A102" t="str">
        <f t="shared" si="3"/>
        <v>01</v>
      </c>
      <c r="B102" t="str">
        <f>"01.8109"</f>
        <v>01.8109</v>
      </c>
      <c r="C102" t="s">
        <v>96</v>
      </c>
    </row>
    <row r="103" spans="1:3" x14ac:dyDescent="0.25">
      <c r="A103" t="str">
        <f t="shared" si="3"/>
        <v>01</v>
      </c>
      <c r="B103" t="str">
        <f>"01.8110"</f>
        <v>01.8110</v>
      </c>
      <c r="C103" t="s">
        <v>97</v>
      </c>
    </row>
    <row r="104" spans="1:3" x14ac:dyDescent="0.25">
      <c r="A104" t="str">
        <f t="shared" si="3"/>
        <v>01</v>
      </c>
      <c r="B104" t="str">
        <f>"01.8111"</f>
        <v>01.8111</v>
      </c>
      <c r="C104" t="s">
        <v>98</v>
      </c>
    </row>
    <row r="105" spans="1:3" x14ac:dyDescent="0.25">
      <c r="A105" t="str">
        <f t="shared" si="3"/>
        <v>01</v>
      </c>
      <c r="B105" t="str">
        <f>"01.8199"</f>
        <v>01.8199</v>
      </c>
      <c r="C105" t="s">
        <v>99</v>
      </c>
    </row>
    <row r="106" spans="1:3" x14ac:dyDescent="0.25">
      <c r="A106" t="str">
        <f t="shared" si="3"/>
        <v>01</v>
      </c>
      <c r="B106" t="str">
        <f>"01.82"</f>
        <v>01.82</v>
      </c>
      <c r="C106" t="s">
        <v>100</v>
      </c>
    </row>
    <row r="107" spans="1:3" x14ac:dyDescent="0.25">
      <c r="A107" t="str">
        <f t="shared" si="3"/>
        <v>01</v>
      </c>
      <c r="B107" t="str">
        <f>"01.8201"</f>
        <v>01.8201</v>
      </c>
      <c r="C107" t="s">
        <v>101</v>
      </c>
    </row>
    <row r="108" spans="1:3" x14ac:dyDescent="0.25">
      <c r="A108" t="str">
        <f t="shared" si="3"/>
        <v>01</v>
      </c>
      <c r="B108" t="str">
        <f>"01.8202"</f>
        <v>01.8202</v>
      </c>
      <c r="C108" t="s">
        <v>102</v>
      </c>
    </row>
    <row r="109" spans="1:3" x14ac:dyDescent="0.25">
      <c r="A109" t="str">
        <f t="shared" si="3"/>
        <v>01</v>
      </c>
      <c r="B109" t="str">
        <f>"01.8203"</f>
        <v>01.8203</v>
      </c>
      <c r="C109" t="s">
        <v>103</v>
      </c>
    </row>
    <row r="110" spans="1:3" x14ac:dyDescent="0.25">
      <c r="A110" t="str">
        <f t="shared" si="3"/>
        <v>01</v>
      </c>
      <c r="B110" t="str">
        <f>"01.8204"</f>
        <v>01.8204</v>
      </c>
      <c r="C110" t="s">
        <v>104</v>
      </c>
    </row>
    <row r="111" spans="1:3" x14ac:dyDescent="0.25">
      <c r="A111" t="str">
        <f t="shared" si="3"/>
        <v>01</v>
      </c>
      <c r="B111" t="str">
        <f>"01.8299"</f>
        <v>01.8299</v>
      </c>
      <c r="C111" t="s">
        <v>105</v>
      </c>
    </row>
    <row r="112" spans="1:3" x14ac:dyDescent="0.25">
      <c r="A112" t="str">
        <f t="shared" si="3"/>
        <v>01</v>
      </c>
      <c r="B112" t="str">
        <f>"01.83"</f>
        <v>01.83</v>
      </c>
      <c r="C112" t="s">
        <v>106</v>
      </c>
    </row>
    <row r="113" spans="1:3" x14ac:dyDescent="0.25">
      <c r="A113" t="str">
        <f t="shared" si="3"/>
        <v>01</v>
      </c>
      <c r="B113" t="str">
        <f>"01.8301"</f>
        <v>01.8301</v>
      </c>
      <c r="C113" t="s">
        <v>107</v>
      </c>
    </row>
    <row r="114" spans="1:3" x14ac:dyDescent="0.25">
      <c r="A114" t="str">
        <f t="shared" si="3"/>
        <v>01</v>
      </c>
      <c r="B114" t="str">
        <f>"01.8399"</f>
        <v>01.8399</v>
      </c>
      <c r="C114" t="s">
        <v>108</v>
      </c>
    </row>
    <row r="115" spans="1:3" x14ac:dyDescent="0.25">
      <c r="A115" t="str">
        <f t="shared" si="3"/>
        <v>01</v>
      </c>
      <c r="B115" t="str">
        <f>"01.99"</f>
        <v>01.99</v>
      </c>
      <c r="C115" t="s">
        <v>109</v>
      </c>
    </row>
    <row r="116" spans="1:3" x14ac:dyDescent="0.25">
      <c r="A116" t="str">
        <f t="shared" si="3"/>
        <v>01</v>
      </c>
      <c r="B116" t="str">
        <f>"01.9999"</f>
        <v>01.9999</v>
      </c>
      <c r="C116" t="s">
        <v>109</v>
      </c>
    </row>
    <row r="117" spans="1:3" x14ac:dyDescent="0.25">
      <c r="A117" t="str">
        <f>"03"</f>
        <v>03</v>
      </c>
      <c r="B117" t="str">
        <f>"03"</f>
        <v>03</v>
      </c>
      <c r="C117" t="s">
        <v>110</v>
      </c>
    </row>
    <row r="118" spans="1:3" x14ac:dyDescent="0.25">
      <c r="A118" t="str">
        <f t="shared" ref="A118:A147" si="4">"03"</f>
        <v>03</v>
      </c>
      <c r="B118" t="str">
        <f>"03.01"</f>
        <v>03.01</v>
      </c>
      <c r="C118" t="s">
        <v>111</v>
      </c>
    </row>
    <row r="119" spans="1:3" x14ac:dyDescent="0.25">
      <c r="A119" t="str">
        <f t="shared" si="4"/>
        <v>03</v>
      </c>
      <c r="B119" t="str">
        <f>"03.0101"</f>
        <v>03.0101</v>
      </c>
      <c r="C119" t="s">
        <v>112</v>
      </c>
    </row>
    <row r="120" spans="1:3" x14ac:dyDescent="0.25">
      <c r="A120" t="str">
        <f t="shared" si="4"/>
        <v>03</v>
      </c>
      <c r="B120" t="str">
        <f>"03.0103"</f>
        <v>03.0103</v>
      </c>
      <c r="C120" t="s">
        <v>113</v>
      </c>
    </row>
    <row r="121" spans="1:3" x14ac:dyDescent="0.25">
      <c r="A121" t="str">
        <f t="shared" si="4"/>
        <v>03</v>
      </c>
      <c r="B121" t="str">
        <f>"03.0104"</f>
        <v>03.0104</v>
      </c>
      <c r="C121" t="s">
        <v>114</v>
      </c>
    </row>
    <row r="122" spans="1:3" x14ac:dyDescent="0.25">
      <c r="A122" t="str">
        <f t="shared" si="4"/>
        <v>03</v>
      </c>
      <c r="B122" t="str">
        <f>"03.0199"</f>
        <v>03.0199</v>
      </c>
      <c r="C122" t="s">
        <v>115</v>
      </c>
    </row>
    <row r="123" spans="1:3" x14ac:dyDescent="0.25">
      <c r="A123" t="str">
        <f t="shared" si="4"/>
        <v>03</v>
      </c>
      <c r="B123" t="str">
        <f>"03.02"</f>
        <v>03.02</v>
      </c>
      <c r="C123" t="s">
        <v>116</v>
      </c>
    </row>
    <row r="124" spans="1:3" x14ac:dyDescent="0.25">
      <c r="A124" t="str">
        <f t="shared" si="4"/>
        <v>03</v>
      </c>
      <c r="B124" t="str">
        <f>"03.0201"</f>
        <v>03.0201</v>
      </c>
      <c r="C124" t="s">
        <v>117</v>
      </c>
    </row>
    <row r="125" spans="1:3" x14ac:dyDescent="0.25">
      <c r="A125" t="str">
        <f t="shared" si="4"/>
        <v>03</v>
      </c>
      <c r="B125" t="str">
        <f>"03.0204"</f>
        <v>03.0204</v>
      </c>
      <c r="C125" t="s">
        <v>118</v>
      </c>
    </row>
    <row r="126" spans="1:3" x14ac:dyDescent="0.25">
      <c r="A126" t="str">
        <f t="shared" si="4"/>
        <v>03</v>
      </c>
      <c r="B126" t="str">
        <f>"03.0205"</f>
        <v>03.0205</v>
      </c>
      <c r="C126" t="s">
        <v>119</v>
      </c>
    </row>
    <row r="127" spans="1:3" x14ac:dyDescent="0.25">
      <c r="A127" t="str">
        <f t="shared" si="4"/>
        <v>03</v>
      </c>
      <c r="B127" t="str">
        <f>"03.0206"</f>
        <v>03.0206</v>
      </c>
      <c r="C127" t="s">
        <v>120</v>
      </c>
    </row>
    <row r="128" spans="1:3" x14ac:dyDescent="0.25">
      <c r="A128" t="str">
        <f t="shared" si="4"/>
        <v>03</v>
      </c>
      <c r="B128" t="str">
        <f>"03.0207"</f>
        <v>03.0207</v>
      </c>
      <c r="C128" t="s">
        <v>121</v>
      </c>
    </row>
    <row r="129" spans="1:3" x14ac:dyDescent="0.25">
      <c r="A129" t="str">
        <f t="shared" si="4"/>
        <v>03</v>
      </c>
      <c r="B129" t="str">
        <f>"03.0208"</f>
        <v>03.0208</v>
      </c>
      <c r="C129" t="s">
        <v>122</v>
      </c>
    </row>
    <row r="130" spans="1:3" x14ac:dyDescent="0.25">
      <c r="A130" t="str">
        <f t="shared" si="4"/>
        <v>03</v>
      </c>
      <c r="B130" t="str">
        <f>"03.0209"</f>
        <v>03.0209</v>
      </c>
      <c r="C130" t="s">
        <v>123</v>
      </c>
    </row>
    <row r="131" spans="1:3" x14ac:dyDescent="0.25">
      <c r="A131" t="str">
        <f t="shared" si="4"/>
        <v>03</v>
      </c>
      <c r="B131" t="str">
        <f>"03.0210"</f>
        <v>03.0210</v>
      </c>
      <c r="C131" t="s">
        <v>124</v>
      </c>
    </row>
    <row r="132" spans="1:3" x14ac:dyDescent="0.25">
      <c r="A132" t="str">
        <f t="shared" si="4"/>
        <v>03</v>
      </c>
      <c r="B132" t="str">
        <f>"03.0299"</f>
        <v>03.0299</v>
      </c>
      <c r="C132" t="s">
        <v>125</v>
      </c>
    </row>
    <row r="133" spans="1:3" x14ac:dyDescent="0.25">
      <c r="A133" t="str">
        <f t="shared" si="4"/>
        <v>03</v>
      </c>
      <c r="B133" t="str">
        <f>"03.03"</f>
        <v>03.03</v>
      </c>
      <c r="C133" t="s">
        <v>126</v>
      </c>
    </row>
    <row r="134" spans="1:3" x14ac:dyDescent="0.25">
      <c r="A134" t="str">
        <f t="shared" si="4"/>
        <v>03</v>
      </c>
      <c r="B134" t="str">
        <f>"03.0301"</f>
        <v>03.0301</v>
      </c>
      <c r="C134" t="s">
        <v>126</v>
      </c>
    </row>
    <row r="135" spans="1:3" x14ac:dyDescent="0.25">
      <c r="A135" t="str">
        <f t="shared" si="4"/>
        <v>03</v>
      </c>
      <c r="B135" t="str">
        <f>"03.05"</f>
        <v>03.05</v>
      </c>
      <c r="C135" t="s">
        <v>127</v>
      </c>
    </row>
    <row r="136" spans="1:3" x14ac:dyDescent="0.25">
      <c r="A136" t="str">
        <f t="shared" si="4"/>
        <v>03</v>
      </c>
      <c r="B136" t="str">
        <f>"03.0501"</f>
        <v>03.0501</v>
      </c>
      <c r="C136" t="s">
        <v>128</v>
      </c>
    </row>
    <row r="137" spans="1:3" x14ac:dyDescent="0.25">
      <c r="A137" t="str">
        <f t="shared" si="4"/>
        <v>03</v>
      </c>
      <c r="B137" t="str">
        <f>"03.0502"</f>
        <v>03.0502</v>
      </c>
      <c r="C137" t="s">
        <v>129</v>
      </c>
    </row>
    <row r="138" spans="1:3" x14ac:dyDescent="0.25">
      <c r="A138" t="str">
        <f t="shared" si="4"/>
        <v>03</v>
      </c>
      <c r="B138" t="str">
        <f>"03.0506"</f>
        <v>03.0506</v>
      </c>
      <c r="C138" t="s">
        <v>130</v>
      </c>
    </row>
    <row r="139" spans="1:3" x14ac:dyDescent="0.25">
      <c r="A139" t="str">
        <f t="shared" si="4"/>
        <v>03</v>
      </c>
      <c r="B139" t="str">
        <f>"03.0508"</f>
        <v>03.0508</v>
      </c>
      <c r="C139" t="s">
        <v>131</v>
      </c>
    </row>
    <row r="140" spans="1:3" x14ac:dyDescent="0.25">
      <c r="A140" t="str">
        <f t="shared" si="4"/>
        <v>03</v>
      </c>
      <c r="B140" t="str">
        <f>"03.0509"</f>
        <v>03.0509</v>
      </c>
      <c r="C140" t="s">
        <v>132</v>
      </c>
    </row>
    <row r="141" spans="1:3" x14ac:dyDescent="0.25">
      <c r="A141" t="str">
        <f t="shared" si="4"/>
        <v>03</v>
      </c>
      <c r="B141" t="str">
        <f>"03.0510"</f>
        <v>03.0510</v>
      </c>
      <c r="C141" t="s">
        <v>133</v>
      </c>
    </row>
    <row r="142" spans="1:3" x14ac:dyDescent="0.25">
      <c r="A142" t="str">
        <f t="shared" si="4"/>
        <v>03</v>
      </c>
      <c r="B142" t="str">
        <f>"03.0511"</f>
        <v>03.0511</v>
      </c>
      <c r="C142" t="s">
        <v>134</v>
      </c>
    </row>
    <row r="143" spans="1:3" x14ac:dyDescent="0.25">
      <c r="A143" t="str">
        <f t="shared" si="4"/>
        <v>03</v>
      </c>
      <c r="B143" t="str">
        <f>"03.0599"</f>
        <v>03.0599</v>
      </c>
      <c r="C143" t="s">
        <v>135</v>
      </c>
    </row>
    <row r="144" spans="1:3" x14ac:dyDescent="0.25">
      <c r="A144" t="str">
        <f t="shared" si="4"/>
        <v>03</v>
      </c>
      <c r="B144" t="str">
        <f>"03.06"</f>
        <v>03.06</v>
      </c>
      <c r="C144" t="s">
        <v>136</v>
      </c>
    </row>
    <row r="145" spans="1:3" x14ac:dyDescent="0.25">
      <c r="A145" t="str">
        <f t="shared" si="4"/>
        <v>03</v>
      </c>
      <c r="B145" t="str">
        <f>"03.0601"</f>
        <v>03.0601</v>
      </c>
      <c r="C145" t="s">
        <v>137</v>
      </c>
    </row>
    <row r="146" spans="1:3" x14ac:dyDescent="0.25">
      <c r="A146" t="str">
        <f t="shared" si="4"/>
        <v>03</v>
      </c>
      <c r="B146" t="str">
        <f>"03.99"</f>
        <v>03.99</v>
      </c>
      <c r="C146" t="s">
        <v>138</v>
      </c>
    </row>
    <row r="147" spans="1:3" x14ac:dyDescent="0.25">
      <c r="A147" t="str">
        <f t="shared" si="4"/>
        <v>03</v>
      </c>
      <c r="B147" t="str">
        <f>"03.9999"</f>
        <v>03.9999</v>
      </c>
      <c r="C147" t="s">
        <v>138</v>
      </c>
    </row>
    <row r="148" spans="1:3" x14ac:dyDescent="0.25">
      <c r="A148" t="str">
        <f>"04"</f>
        <v>04</v>
      </c>
      <c r="B148" t="str">
        <f>"04"</f>
        <v>04</v>
      </c>
      <c r="C148" t="s">
        <v>139</v>
      </c>
    </row>
    <row r="149" spans="1:3" x14ac:dyDescent="0.25">
      <c r="A149" t="str">
        <f t="shared" ref="A149:A177" si="5">"04"</f>
        <v>04</v>
      </c>
      <c r="B149" t="str">
        <f>"04.02"</f>
        <v>04.02</v>
      </c>
      <c r="C149" t="s">
        <v>140</v>
      </c>
    </row>
    <row r="150" spans="1:3" x14ac:dyDescent="0.25">
      <c r="A150" t="str">
        <f t="shared" si="5"/>
        <v>04</v>
      </c>
      <c r="B150" t="str">
        <f>"04.0200"</f>
        <v>04.0200</v>
      </c>
      <c r="C150" t="s">
        <v>141</v>
      </c>
    </row>
    <row r="151" spans="1:3" x14ac:dyDescent="0.25">
      <c r="A151" t="str">
        <f t="shared" si="5"/>
        <v>04</v>
      </c>
      <c r="B151" t="str">
        <f>"04.0201"</f>
        <v>04.0201</v>
      </c>
      <c r="C151" t="s">
        <v>140</v>
      </c>
    </row>
    <row r="152" spans="1:3" x14ac:dyDescent="0.25">
      <c r="A152" t="str">
        <f t="shared" si="5"/>
        <v>04</v>
      </c>
      <c r="B152" t="str">
        <f>"04.0202"</f>
        <v>04.0202</v>
      </c>
      <c r="C152" t="s">
        <v>142</v>
      </c>
    </row>
    <row r="153" spans="1:3" x14ac:dyDescent="0.25">
      <c r="A153" t="str">
        <f t="shared" si="5"/>
        <v>04</v>
      </c>
      <c r="B153" t="str">
        <f>"04.0299"</f>
        <v>04.0299</v>
      </c>
      <c r="C153" t="s">
        <v>143</v>
      </c>
    </row>
    <row r="154" spans="1:3" x14ac:dyDescent="0.25">
      <c r="A154" t="str">
        <f t="shared" si="5"/>
        <v>04</v>
      </c>
      <c r="B154" t="str">
        <f>"04.03"</f>
        <v>04.03</v>
      </c>
      <c r="C154" t="s">
        <v>144</v>
      </c>
    </row>
    <row r="155" spans="1:3" x14ac:dyDescent="0.25">
      <c r="A155" t="str">
        <f t="shared" si="5"/>
        <v>04</v>
      </c>
      <c r="B155" t="str">
        <f>"04.0301"</f>
        <v>04.0301</v>
      </c>
      <c r="C155" t="s">
        <v>144</v>
      </c>
    </row>
    <row r="156" spans="1:3" x14ac:dyDescent="0.25">
      <c r="A156" t="str">
        <f t="shared" si="5"/>
        <v>04</v>
      </c>
      <c r="B156" t="str">
        <f>"04.04"</f>
        <v>04.04</v>
      </c>
      <c r="C156" t="s">
        <v>145</v>
      </c>
    </row>
    <row r="157" spans="1:3" x14ac:dyDescent="0.25">
      <c r="A157" t="str">
        <f t="shared" si="5"/>
        <v>04</v>
      </c>
      <c r="B157" t="str">
        <f>"04.0401"</f>
        <v>04.0401</v>
      </c>
      <c r="C157" t="s">
        <v>146</v>
      </c>
    </row>
    <row r="158" spans="1:3" x14ac:dyDescent="0.25">
      <c r="A158" t="str">
        <f t="shared" si="5"/>
        <v>04</v>
      </c>
      <c r="B158" t="str">
        <f>"04.0402"</f>
        <v>04.0402</v>
      </c>
      <c r="C158" t="s">
        <v>147</v>
      </c>
    </row>
    <row r="159" spans="1:3" x14ac:dyDescent="0.25">
      <c r="A159" t="str">
        <f t="shared" si="5"/>
        <v>04</v>
      </c>
      <c r="B159" t="str">
        <f>"04.0403"</f>
        <v>04.0403</v>
      </c>
      <c r="C159" t="s">
        <v>148</v>
      </c>
    </row>
    <row r="160" spans="1:3" x14ac:dyDescent="0.25">
      <c r="A160" t="str">
        <f t="shared" si="5"/>
        <v>04</v>
      </c>
      <c r="B160" t="str">
        <f>"04.0499"</f>
        <v>04.0499</v>
      </c>
      <c r="C160" t="s">
        <v>149</v>
      </c>
    </row>
    <row r="161" spans="1:3" x14ac:dyDescent="0.25">
      <c r="A161" t="str">
        <f t="shared" si="5"/>
        <v>04</v>
      </c>
      <c r="B161" t="str">
        <f>"04.05"</f>
        <v>04.05</v>
      </c>
      <c r="C161" t="s">
        <v>150</v>
      </c>
    </row>
    <row r="162" spans="1:3" x14ac:dyDescent="0.25">
      <c r="A162" t="str">
        <f t="shared" si="5"/>
        <v>04</v>
      </c>
      <c r="B162" t="str">
        <f>"04.0501"</f>
        <v>04.0501</v>
      </c>
      <c r="C162" t="s">
        <v>150</v>
      </c>
    </row>
    <row r="163" spans="1:3" x14ac:dyDescent="0.25">
      <c r="A163" t="str">
        <f t="shared" si="5"/>
        <v>04</v>
      </c>
      <c r="B163" t="str">
        <f>"04.06"</f>
        <v>04.06</v>
      </c>
      <c r="C163" t="s">
        <v>151</v>
      </c>
    </row>
    <row r="164" spans="1:3" x14ac:dyDescent="0.25">
      <c r="A164" t="str">
        <f t="shared" si="5"/>
        <v>04</v>
      </c>
      <c r="B164" t="str">
        <f>"04.0601"</f>
        <v>04.0601</v>
      </c>
      <c r="C164" t="s">
        <v>151</v>
      </c>
    </row>
    <row r="165" spans="1:3" x14ac:dyDescent="0.25">
      <c r="A165" t="str">
        <f t="shared" si="5"/>
        <v>04</v>
      </c>
      <c r="B165" t="str">
        <f>"04.08"</f>
        <v>04.08</v>
      </c>
      <c r="C165" t="s">
        <v>152</v>
      </c>
    </row>
    <row r="166" spans="1:3" x14ac:dyDescent="0.25">
      <c r="A166" t="str">
        <f t="shared" si="5"/>
        <v>04</v>
      </c>
      <c r="B166" t="str">
        <f>"04.0801"</f>
        <v>04.0801</v>
      </c>
      <c r="C166" t="s">
        <v>153</v>
      </c>
    </row>
    <row r="167" spans="1:3" x14ac:dyDescent="0.25">
      <c r="A167" t="str">
        <f t="shared" si="5"/>
        <v>04</v>
      </c>
      <c r="B167" t="str">
        <f>"04.0802"</f>
        <v>04.0802</v>
      </c>
      <c r="C167" t="s">
        <v>154</v>
      </c>
    </row>
    <row r="168" spans="1:3" x14ac:dyDescent="0.25">
      <c r="A168" t="str">
        <f t="shared" si="5"/>
        <v>04</v>
      </c>
      <c r="B168" t="str">
        <f>"04.0803"</f>
        <v>04.0803</v>
      </c>
      <c r="C168" t="s">
        <v>155</v>
      </c>
    </row>
    <row r="169" spans="1:3" x14ac:dyDescent="0.25">
      <c r="A169" t="str">
        <f t="shared" si="5"/>
        <v>04</v>
      </c>
      <c r="B169" t="str">
        <f>"04.0899"</f>
        <v>04.0899</v>
      </c>
      <c r="C169" t="s">
        <v>156</v>
      </c>
    </row>
    <row r="170" spans="1:3" x14ac:dyDescent="0.25">
      <c r="A170" t="str">
        <f t="shared" si="5"/>
        <v>04</v>
      </c>
      <c r="B170" t="str">
        <f>"04.09"</f>
        <v>04.09</v>
      </c>
      <c r="C170" t="s">
        <v>157</v>
      </c>
    </row>
    <row r="171" spans="1:3" x14ac:dyDescent="0.25">
      <c r="A171" t="str">
        <f t="shared" si="5"/>
        <v>04</v>
      </c>
      <c r="B171" t="str">
        <f>"04.0901"</f>
        <v>04.0901</v>
      </c>
      <c r="C171" t="s">
        <v>158</v>
      </c>
    </row>
    <row r="172" spans="1:3" x14ac:dyDescent="0.25">
      <c r="A172" t="str">
        <f t="shared" si="5"/>
        <v>04</v>
      </c>
      <c r="B172" t="str">
        <f>"04.0902"</f>
        <v>04.0902</v>
      </c>
      <c r="C172" t="s">
        <v>159</v>
      </c>
    </row>
    <row r="173" spans="1:3" x14ac:dyDescent="0.25">
      <c r="A173" t="str">
        <f t="shared" si="5"/>
        <v>04</v>
      </c>
      <c r="B173" t="str">
        <f>"04.0999"</f>
        <v>04.0999</v>
      </c>
      <c r="C173" t="s">
        <v>160</v>
      </c>
    </row>
    <row r="174" spans="1:3" x14ac:dyDescent="0.25">
      <c r="A174" t="str">
        <f t="shared" si="5"/>
        <v>04</v>
      </c>
      <c r="B174" t="str">
        <f>"04.10"</f>
        <v>04.10</v>
      </c>
      <c r="C174" t="s">
        <v>161</v>
      </c>
    </row>
    <row r="175" spans="1:3" x14ac:dyDescent="0.25">
      <c r="A175" t="str">
        <f t="shared" si="5"/>
        <v>04</v>
      </c>
      <c r="B175" t="str">
        <f>"04.1001"</f>
        <v>04.1001</v>
      </c>
      <c r="C175" t="s">
        <v>161</v>
      </c>
    </row>
    <row r="176" spans="1:3" x14ac:dyDescent="0.25">
      <c r="A176" t="str">
        <f t="shared" si="5"/>
        <v>04</v>
      </c>
      <c r="B176" t="str">
        <f>"04.99"</f>
        <v>04.99</v>
      </c>
      <c r="C176" t="s">
        <v>162</v>
      </c>
    </row>
    <row r="177" spans="1:3" x14ac:dyDescent="0.25">
      <c r="A177" t="str">
        <f t="shared" si="5"/>
        <v>04</v>
      </c>
      <c r="B177" t="str">
        <f>"04.9999"</f>
        <v>04.9999</v>
      </c>
      <c r="C177" t="s">
        <v>162</v>
      </c>
    </row>
    <row r="178" spans="1:3" x14ac:dyDescent="0.25">
      <c r="A178" t="str">
        <f>"05"</f>
        <v>05</v>
      </c>
      <c r="B178" t="str">
        <f>"05"</f>
        <v>05</v>
      </c>
      <c r="C178" t="s">
        <v>163</v>
      </c>
    </row>
    <row r="179" spans="1:3" x14ac:dyDescent="0.25">
      <c r="A179" t="str">
        <f t="shared" ref="A179:A210" si="6">"05"</f>
        <v>05</v>
      </c>
      <c r="B179" t="str">
        <f>"05.01"</f>
        <v>05.01</v>
      </c>
      <c r="C179" t="s">
        <v>164</v>
      </c>
    </row>
    <row r="180" spans="1:3" x14ac:dyDescent="0.25">
      <c r="A180" t="str">
        <f t="shared" si="6"/>
        <v>05</v>
      </c>
      <c r="B180" t="str">
        <f>"05.0101"</f>
        <v>05.0101</v>
      </c>
      <c r="C180" t="s">
        <v>165</v>
      </c>
    </row>
    <row r="181" spans="1:3" x14ac:dyDescent="0.25">
      <c r="A181" t="str">
        <f t="shared" si="6"/>
        <v>05</v>
      </c>
      <c r="B181" t="str">
        <f>"05.0102"</f>
        <v>05.0102</v>
      </c>
      <c r="C181" t="s">
        <v>166</v>
      </c>
    </row>
    <row r="182" spans="1:3" x14ac:dyDescent="0.25">
      <c r="A182" t="str">
        <f t="shared" si="6"/>
        <v>05</v>
      </c>
      <c r="B182" t="str">
        <f>"05.0103"</f>
        <v>05.0103</v>
      </c>
      <c r="C182" t="s">
        <v>167</v>
      </c>
    </row>
    <row r="183" spans="1:3" x14ac:dyDescent="0.25">
      <c r="A183" t="str">
        <f t="shared" si="6"/>
        <v>05</v>
      </c>
      <c r="B183" t="str">
        <f>"05.0104"</f>
        <v>05.0104</v>
      </c>
      <c r="C183" t="s">
        <v>168</v>
      </c>
    </row>
    <row r="184" spans="1:3" x14ac:dyDescent="0.25">
      <c r="A184" t="str">
        <f t="shared" si="6"/>
        <v>05</v>
      </c>
      <c r="B184" t="str">
        <f>"05.0105"</f>
        <v>05.0105</v>
      </c>
      <c r="C184" t="s">
        <v>169</v>
      </c>
    </row>
    <row r="185" spans="1:3" x14ac:dyDescent="0.25">
      <c r="A185" t="str">
        <f t="shared" si="6"/>
        <v>05</v>
      </c>
      <c r="B185" t="str">
        <f>"05.0106"</f>
        <v>05.0106</v>
      </c>
      <c r="C185" t="s">
        <v>170</v>
      </c>
    </row>
    <row r="186" spans="1:3" x14ac:dyDescent="0.25">
      <c r="A186" t="str">
        <f t="shared" si="6"/>
        <v>05</v>
      </c>
      <c r="B186" t="str">
        <f>"05.0107"</f>
        <v>05.0107</v>
      </c>
      <c r="C186" t="s">
        <v>171</v>
      </c>
    </row>
    <row r="187" spans="1:3" x14ac:dyDescent="0.25">
      <c r="A187" t="str">
        <f t="shared" si="6"/>
        <v>05</v>
      </c>
      <c r="B187" t="str">
        <f>"05.0108"</f>
        <v>05.0108</v>
      </c>
      <c r="C187" t="s">
        <v>172</v>
      </c>
    </row>
    <row r="188" spans="1:3" x14ac:dyDescent="0.25">
      <c r="A188" t="str">
        <f t="shared" si="6"/>
        <v>05</v>
      </c>
      <c r="B188" t="str">
        <f>"05.0109"</f>
        <v>05.0109</v>
      </c>
      <c r="C188" t="s">
        <v>173</v>
      </c>
    </row>
    <row r="189" spans="1:3" x14ac:dyDescent="0.25">
      <c r="A189" t="str">
        <f t="shared" si="6"/>
        <v>05</v>
      </c>
      <c r="B189" t="str">
        <f>"05.0110"</f>
        <v>05.0110</v>
      </c>
      <c r="C189" t="s">
        <v>174</v>
      </c>
    </row>
    <row r="190" spans="1:3" x14ac:dyDescent="0.25">
      <c r="A190" t="str">
        <f t="shared" si="6"/>
        <v>05</v>
      </c>
      <c r="B190" t="str">
        <f>"05.0111"</f>
        <v>05.0111</v>
      </c>
      <c r="C190" t="s">
        <v>175</v>
      </c>
    </row>
    <row r="191" spans="1:3" x14ac:dyDescent="0.25">
      <c r="A191" t="str">
        <f t="shared" si="6"/>
        <v>05</v>
      </c>
      <c r="B191" t="str">
        <f>"05.0112"</f>
        <v>05.0112</v>
      </c>
      <c r="C191" t="s">
        <v>176</v>
      </c>
    </row>
    <row r="192" spans="1:3" x14ac:dyDescent="0.25">
      <c r="A192" t="str">
        <f t="shared" si="6"/>
        <v>05</v>
      </c>
      <c r="B192" t="str">
        <f>"05.0113"</f>
        <v>05.0113</v>
      </c>
      <c r="C192" t="s">
        <v>177</v>
      </c>
    </row>
    <row r="193" spans="1:3" x14ac:dyDescent="0.25">
      <c r="A193" t="str">
        <f t="shared" si="6"/>
        <v>05</v>
      </c>
      <c r="B193" t="str">
        <f>"05.0114"</f>
        <v>05.0114</v>
      </c>
      <c r="C193" t="s">
        <v>178</v>
      </c>
    </row>
    <row r="194" spans="1:3" x14ac:dyDescent="0.25">
      <c r="A194" t="str">
        <f t="shared" si="6"/>
        <v>05</v>
      </c>
      <c r="B194" t="str">
        <f>"05.0115"</f>
        <v>05.0115</v>
      </c>
      <c r="C194" t="s">
        <v>179</v>
      </c>
    </row>
    <row r="195" spans="1:3" x14ac:dyDescent="0.25">
      <c r="A195" t="str">
        <f t="shared" si="6"/>
        <v>05</v>
      </c>
      <c r="B195" t="str">
        <f>"05.0116"</f>
        <v>05.0116</v>
      </c>
      <c r="C195" t="s">
        <v>180</v>
      </c>
    </row>
    <row r="196" spans="1:3" x14ac:dyDescent="0.25">
      <c r="A196" t="str">
        <f t="shared" si="6"/>
        <v>05</v>
      </c>
      <c r="B196" t="str">
        <f>"05.0117"</f>
        <v>05.0117</v>
      </c>
      <c r="C196" t="s">
        <v>181</v>
      </c>
    </row>
    <row r="197" spans="1:3" x14ac:dyDescent="0.25">
      <c r="A197" t="str">
        <f t="shared" si="6"/>
        <v>05</v>
      </c>
      <c r="B197" t="str">
        <f>"05.0118"</f>
        <v>05.0118</v>
      </c>
      <c r="C197" t="s">
        <v>182</v>
      </c>
    </row>
    <row r="198" spans="1:3" x14ac:dyDescent="0.25">
      <c r="A198" t="str">
        <f t="shared" si="6"/>
        <v>05</v>
      </c>
      <c r="B198" t="str">
        <f>"05.0119"</f>
        <v>05.0119</v>
      </c>
      <c r="C198" t="s">
        <v>183</v>
      </c>
    </row>
    <row r="199" spans="1:3" x14ac:dyDescent="0.25">
      <c r="A199" t="str">
        <f t="shared" si="6"/>
        <v>05</v>
      </c>
      <c r="B199" t="str">
        <f>"05.0120"</f>
        <v>05.0120</v>
      </c>
      <c r="C199" t="s">
        <v>184</v>
      </c>
    </row>
    <row r="200" spans="1:3" x14ac:dyDescent="0.25">
      <c r="A200" t="str">
        <f t="shared" si="6"/>
        <v>05</v>
      </c>
      <c r="B200" t="str">
        <f>"05.0121"</f>
        <v>05.0121</v>
      </c>
      <c r="C200" t="s">
        <v>185</v>
      </c>
    </row>
    <row r="201" spans="1:3" x14ac:dyDescent="0.25">
      <c r="A201" t="str">
        <f t="shared" si="6"/>
        <v>05</v>
      </c>
      <c r="B201" t="str">
        <f>"05.0122"</f>
        <v>05.0122</v>
      </c>
      <c r="C201" t="s">
        <v>186</v>
      </c>
    </row>
    <row r="202" spans="1:3" x14ac:dyDescent="0.25">
      <c r="A202" t="str">
        <f t="shared" si="6"/>
        <v>05</v>
      </c>
      <c r="B202" t="str">
        <f>"05.0123"</f>
        <v>05.0123</v>
      </c>
      <c r="C202" t="s">
        <v>187</v>
      </c>
    </row>
    <row r="203" spans="1:3" x14ac:dyDescent="0.25">
      <c r="A203" t="str">
        <f t="shared" si="6"/>
        <v>05</v>
      </c>
      <c r="B203" t="str">
        <f>"05.0124"</f>
        <v>05.0124</v>
      </c>
      <c r="C203" t="s">
        <v>188</v>
      </c>
    </row>
    <row r="204" spans="1:3" x14ac:dyDescent="0.25">
      <c r="A204" t="str">
        <f t="shared" si="6"/>
        <v>05</v>
      </c>
      <c r="B204" t="str">
        <f>"05.0125"</f>
        <v>05.0125</v>
      </c>
      <c r="C204" t="s">
        <v>189</v>
      </c>
    </row>
    <row r="205" spans="1:3" x14ac:dyDescent="0.25">
      <c r="A205" t="str">
        <f t="shared" si="6"/>
        <v>05</v>
      </c>
      <c r="B205" t="str">
        <f>"05.0126"</f>
        <v>05.0126</v>
      </c>
      <c r="C205" t="s">
        <v>190</v>
      </c>
    </row>
    <row r="206" spans="1:3" x14ac:dyDescent="0.25">
      <c r="A206" t="str">
        <f t="shared" si="6"/>
        <v>05</v>
      </c>
      <c r="B206" t="str">
        <f>"05.0127"</f>
        <v>05.0127</v>
      </c>
      <c r="C206" t="s">
        <v>191</v>
      </c>
    </row>
    <row r="207" spans="1:3" x14ac:dyDescent="0.25">
      <c r="A207" t="str">
        <f t="shared" si="6"/>
        <v>05</v>
      </c>
      <c r="B207" t="str">
        <f>"05.0128"</f>
        <v>05.0128</v>
      </c>
      <c r="C207" t="s">
        <v>192</v>
      </c>
    </row>
    <row r="208" spans="1:3" x14ac:dyDescent="0.25">
      <c r="A208" t="str">
        <f t="shared" si="6"/>
        <v>05</v>
      </c>
      <c r="B208" t="str">
        <f>"05.0129"</f>
        <v>05.0129</v>
      </c>
      <c r="C208" t="s">
        <v>193</v>
      </c>
    </row>
    <row r="209" spans="1:3" x14ac:dyDescent="0.25">
      <c r="A209" t="str">
        <f t="shared" si="6"/>
        <v>05</v>
      </c>
      <c r="B209" t="str">
        <f>"05.0130"</f>
        <v>05.0130</v>
      </c>
      <c r="C209" t="s">
        <v>194</v>
      </c>
    </row>
    <row r="210" spans="1:3" x14ac:dyDescent="0.25">
      <c r="A210" t="str">
        <f t="shared" si="6"/>
        <v>05</v>
      </c>
      <c r="B210" t="str">
        <f>"05.0131"</f>
        <v>05.0131</v>
      </c>
      <c r="C210" t="s">
        <v>195</v>
      </c>
    </row>
    <row r="211" spans="1:3" x14ac:dyDescent="0.25">
      <c r="A211" t="str">
        <f t="shared" ref="A211:A231" si="7">"05"</f>
        <v>05</v>
      </c>
      <c r="B211" t="str">
        <f>"05.0132"</f>
        <v>05.0132</v>
      </c>
      <c r="C211" t="s">
        <v>196</v>
      </c>
    </row>
    <row r="212" spans="1:3" x14ac:dyDescent="0.25">
      <c r="A212" t="str">
        <f t="shared" si="7"/>
        <v>05</v>
      </c>
      <c r="B212" t="str">
        <f>"05.0133"</f>
        <v>05.0133</v>
      </c>
      <c r="C212" t="s">
        <v>197</v>
      </c>
    </row>
    <row r="213" spans="1:3" x14ac:dyDescent="0.25">
      <c r="A213" t="str">
        <f t="shared" si="7"/>
        <v>05</v>
      </c>
      <c r="B213" t="str">
        <f>"05.0134"</f>
        <v>05.0134</v>
      </c>
      <c r="C213" t="s">
        <v>198</v>
      </c>
    </row>
    <row r="214" spans="1:3" x14ac:dyDescent="0.25">
      <c r="A214" t="str">
        <f t="shared" si="7"/>
        <v>05</v>
      </c>
      <c r="B214" t="str">
        <f>"05.0135"</f>
        <v>05.0135</v>
      </c>
      <c r="C214" t="s">
        <v>199</v>
      </c>
    </row>
    <row r="215" spans="1:3" x14ac:dyDescent="0.25">
      <c r="A215" t="str">
        <f t="shared" si="7"/>
        <v>05</v>
      </c>
      <c r="B215" t="str">
        <f>"05.0136"</f>
        <v>05.0136</v>
      </c>
      <c r="C215" t="s">
        <v>200</v>
      </c>
    </row>
    <row r="216" spans="1:3" x14ac:dyDescent="0.25">
      <c r="A216" t="str">
        <f t="shared" si="7"/>
        <v>05</v>
      </c>
      <c r="B216" t="str">
        <f>"05.0199"</f>
        <v>05.0199</v>
      </c>
      <c r="C216" t="s">
        <v>201</v>
      </c>
    </row>
    <row r="217" spans="1:3" x14ac:dyDescent="0.25">
      <c r="A217" t="str">
        <f t="shared" si="7"/>
        <v>05</v>
      </c>
      <c r="B217" t="str">
        <f>"05.02"</f>
        <v>05.02</v>
      </c>
      <c r="C217" t="s">
        <v>202</v>
      </c>
    </row>
    <row r="218" spans="1:3" x14ac:dyDescent="0.25">
      <c r="A218" t="str">
        <f t="shared" si="7"/>
        <v>05</v>
      </c>
      <c r="B218" t="str">
        <f>"05.0200"</f>
        <v>05.0200</v>
      </c>
      <c r="C218" t="s">
        <v>203</v>
      </c>
    </row>
    <row r="219" spans="1:3" x14ac:dyDescent="0.25">
      <c r="A219" t="str">
        <f t="shared" si="7"/>
        <v>05</v>
      </c>
      <c r="B219" t="str">
        <f>"05.0201"</f>
        <v>05.0201</v>
      </c>
      <c r="C219" t="s">
        <v>204</v>
      </c>
    </row>
    <row r="220" spans="1:3" x14ac:dyDescent="0.25">
      <c r="A220" t="str">
        <f t="shared" si="7"/>
        <v>05</v>
      </c>
      <c r="B220" t="str">
        <f>"05.0202"</f>
        <v>05.0202</v>
      </c>
      <c r="C220" t="s">
        <v>205</v>
      </c>
    </row>
    <row r="221" spans="1:3" x14ac:dyDescent="0.25">
      <c r="A221" t="str">
        <f t="shared" si="7"/>
        <v>05</v>
      </c>
      <c r="B221" t="str">
        <f>"05.0203"</f>
        <v>05.0203</v>
      </c>
      <c r="C221" t="s">
        <v>206</v>
      </c>
    </row>
    <row r="222" spans="1:3" x14ac:dyDescent="0.25">
      <c r="A222" t="str">
        <f t="shared" si="7"/>
        <v>05</v>
      </c>
      <c r="B222" t="str">
        <f>"05.0206"</f>
        <v>05.0206</v>
      </c>
      <c r="C222" t="s">
        <v>207</v>
      </c>
    </row>
    <row r="223" spans="1:3" x14ac:dyDescent="0.25">
      <c r="A223" t="str">
        <f t="shared" si="7"/>
        <v>05</v>
      </c>
      <c r="B223" t="str">
        <f>"05.0207"</f>
        <v>05.0207</v>
      </c>
      <c r="C223" t="s">
        <v>208</v>
      </c>
    </row>
    <row r="224" spans="1:3" x14ac:dyDescent="0.25">
      <c r="A224" t="str">
        <f t="shared" si="7"/>
        <v>05</v>
      </c>
      <c r="B224" t="str">
        <f>"05.0208"</f>
        <v>05.0208</v>
      </c>
      <c r="C224" t="s">
        <v>209</v>
      </c>
    </row>
    <row r="225" spans="1:3" x14ac:dyDescent="0.25">
      <c r="A225" t="str">
        <f t="shared" si="7"/>
        <v>05</v>
      </c>
      <c r="B225" t="str">
        <f>"05.0209"</f>
        <v>05.0209</v>
      </c>
      <c r="C225" t="s">
        <v>210</v>
      </c>
    </row>
    <row r="226" spans="1:3" x14ac:dyDescent="0.25">
      <c r="A226" t="str">
        <f t="shared" si="7"/>
        <v>05</v>
      </c>
      <c r="B226" t="str">
        <f>"05.0210"</f>
        <v>05.0210</v>
      </c>
      <c r="C226" t="s">
        <v>211</v>
      </c>
    </row>
    <row r="227" spans="1:3" x14ac:dyDescent="0.25">
      <c r="A227" t="str">
        <f t="shared" si="7"/>
        <v>05</v>
      </c>
      <c r="B227" t="str">
        <f>"05.0211"</f>
        <v>05.0211</v>
      </c>
      <c r="C227" t="s">
        <v>212</v>
      </c>
    </row>
    <row r="228" spans="1:3" x14ac:dyDescent="0.25">
      <c r="A228" t="str">
        <f t="shared" si="7"/>
        <v>05</v>
      </c>
      <c r="B228" t="str">
        <f>"05.0212"</f>
        <v>05.0212</v>
      </c>
      <c r="C228" t="s">
        <v>213</v>
      </c>
    </row>
    <row r="229" spans="1:3" x14ac:dyDescent="0.25">
      <c r="A229" t="str">
        <f t="shared" si="7"/>
        <v>05</v>
      </c>
      <c r="B229" t="str">
        <f>"05.0299"</f>
        <v>05.0299</v>
      </c>
      <c r="C229" t="s">
        <v>214</v>
      </c>
    </row>
    <row r="230" spans="1:3" x14ac:dyDescent="0.25">
      <c r="A230" t="str">
        <f t="shared" si="7"/>
        <v>05</v>
      </c>
      <c r="B230" t="str">
        <f>"05.99"</f>
        <v>05.99</v>
      </c>
      <c r="C230" t="s">
        <v>215</v>
      </c>
    </row>
    <row r="231" spans="1:3" x14ac:dyDescent="0.25">
      <c r="A231" t="str">
        <f t="shared" si="7"/>
        <v>05</v>
      </c>
      <c r="B231" t="str">
        <f>"05.9999"</f>
        <v>05.9999</v>
      </c>
      <c r="C231" t="s">
        <v>215</v>
      </c>
    </row>
    <row r="232" spans="1:3" x14ac:dyDescent="0.25">
      <c r="A232" t="str">
        <f>"09"</f>
        <v>09</v>
      </c>
      <c r="B232" t="str">
        <f>"09"</f>
        <v>09</v>
      </c>
      <c r="C232" t="s">
        <v>216</v>
      </c>
    </row>
    <row r="233" spans="1:3" x14ac:dyDescent="0.25">
      <c r="A233" t="str">
        <f t="shared" ref="A233:A265" si="8">"09"</f>
        <v>09</v>
      </c>
      <c r="B233" t="str">
        <f>"09.01"</f>
        <v>09.01</v>
      </c>
      <c r="C233" t="s">
        <v>217</v>
      </c>
    </row>
    <row r="234" spans="1:3" x14ac:dyDescent="0.25">
      <c r="A234" t="str">
        <f t="shared" si="8"/>
        <v>09</v>
      </c>
      <c r="B234" t="str">
        <f>"09.0100"</f>
        <v>09.0100</v>
      </c>
      <c r="C234" t="s">
        <v>218</v>
      </c>
    </row>
    <row r="235" spans="1:3" x14ac:dyDescent="0.25">
      <c r="A235" t="str">
        <f t="shared" si="8"/>
        <v>09</v>
      </c>
      <c r="B235" t="str">
        <f>"09.0101"</f>
        <v>09.0101</v>
      </c>
      <c r="C235" t="s">
        <v>219</v>
      </c>
    </row>
    <row r="236" spans="1:3" x14ac:dyDescent="0.25">
      <c r="A236" t="str">
        <f t="shared" si="8"/>
        <v>09</v>
      </c>
      <c r="B236" t="str">
        <f>"09.0102"</f>
        <v>09.0102</v>
      </c>
      <c r="C236" t="s">
        <v>220</v>
      </c>
    </row>
    <row r="237" spans="1:3" x14ac:dyDescent="0.25">
      <c r="A237" t="str">
        <f t="shared" si="8"/>
        <v>09</v>
      </c>
      <c r="B237" t="str">
        <f>"09.0199"</f>
        <v>09.0199</v>
      </c>
      <c r="C237" t="s">
        <v>221</v>
      </c>
    </row>
    <row r="238" spans="1:3" x14ac:dyDescent="0.25">
      <c r="A238" t="str">
        <f t="shared" si="8"/>
        <v>09</v>
      </c>
      <c r="B238" t="str">
        <f>"09.04"</f>
        <v>09.04</v>
      </c>
      <c r="C238" t="s">
        <v>222</v>
      </c>
    </row>
    <row r="239" spans="1:3" x14ac:dyDescent="0.25">
      <c r="A239" t="str">
        <f t="shared" si="8"/>
        <v>09</v>
      </c>
      <c r="B239" t="str">
        <f>"09.0401"</f>
        <v>09.0401</v>
      </c>
      <c r="C239" t="s">
        <v>222</v>
      </c>
    </row>
    <row r="240" spans="1:3" x14ac:dyDescent="0.25">
      <c r="A240" t="str">
        <f t="shared" si="8"/>
        <v>09</v>
      </c>
      <c r="B240" t="str">
        <f>"09.0402"</f>
        <v>09.0402</v>
      </c>
      <c r="C240" t="s">
        <v>223</v>
      </c>
    </row>
    <row r="241" spans="1:3" x14ac:dyDescent="0.25">
      <c r="A241" t="str">
        <f t="shared" si="8"/>
        <v>09</v>
      </c>
      <c r="B241" t="str">
        <f>"09.0404"</f>
        <v>09.0404</v>
      </c>
      <c r="C241" t="s">
        <v>224</v>
      </c>
    </row>
    <row r="242" spans="1:3" x14ac:dyDescent="0.25">
      <c r="A242" t="str">
        <f t="shared" si="8"/>
        <v>09</v>
      </c>
      <c r="B242" t="str">
        <f>"09.0405"</f>
        <v>09.0405</v>
      </c>
      <c r="C242" t="s">
        <v>225</v>
      </c>
    </row>
    <row r="243" spans="1:3" x14ac:dyDescent="0.25">
      <c r="A243" t="str">
        <f t="shared" si="8"/>
        <v>09</v>
      </c>
      <c r="B243" t="str">
        <f>"09.0406"</f>
        <v>09.0406</v>
      </c>
      <c r="C243" t="s">
        <v>226</v>
      </c>
    </row>
    <row r="244" spans="1:3" x14ac:dyDescent="0.25">
      <c r="A244" t="str">
        <f t="shared" si="8"/>
        <v>09</v>
      </c>
      <c r="B244" t="str">
        <f>"09.0407"</f>
        <v>09.0407</v>
      </c>
      <c r="C244" t="s">
        <v>227</v>
      </c>
    </row>
    <row r="245" spans="1:3" x14ac:dyDescent="0.25">
      <c r="A245" t="str">
        <f t="shared" si="8"/>
        <v>09</v>
      </c>
      <c r="B245" t="str">
        <f>"09.0499"</f>
        <v>09.0499</v>
      </c>
      <c r="C245" t="s">
        <v>228</v>
      </c>
    </row>
    <row r="246" spans="1:3" x14ac:dyDescent="0.25">
      <c r="A246" t="str">
        <f t="shared" si="8"/>
        <v>09</v>
      </c>
      <c r="B246" t="str">
        <f>"09.07"</f>
        <v>09.07</v>
      </c>
      <c r="C246" t="s">
        <v>229</v>
      </c>
    </row>
    <row r="247" spans="1:3" x14ac:dyDescent="0.25">
      <c r="A247" t="str">
        <f t="shared" si="8"/>
        <v>09</v>
      </c>
      <c r="B247" t="str">
        <f>"09.0701"</f>
        <v>09.0701</v>
      </c>
      <c r="C247" t="s">
        <v>230</v>
      </c>
    </row>
    <row r="248" spans="1:3" x14ac:dyDescent="0.25">
      <c r="A248" t="str">
        <f t="shared" si="8"/>
        <v>09</v>
      </c>
      <c r="B248" t="str">
        <f>"09.0702"</f>
        <v>09.0702</v>
      </c>
      <c r="C248" t="s">
        <v>231</v>
      </c>
    </row>
    <row r="249" spans="1:3" x14ac:dyDescent="0.25">
      <c r="A249" t="str">
        <f t="shared" si="8"/>
        <v>09</v>
      </c>
      <c r="B249" t="str">
        <f>"09.0799"</f>
        <v>09.0799</v>
      </c>
      <c r="C249" t="s">
        <v>232</v>
      </c>
    </row>
    <row r="250" spans="1:3" x14ac:dyDescent="0.25">
      <c r="A250" t="str">
        <f t="shared" si="8"/>
        <v>09</v>
      </c>
      <c r="B250" t="str">
        <f>"09.09"</f>
        <v>09.09</v>
      </c>
      <c r="C250" t="s">
        <v>233</v>
      </c>
    </row>
    <row r="251" spans="1:3" x14ac:dyDescent="0.25">
      <c r="A251" t="str">
        <f t="shared" si="8"/>
        <v>09</v>
      </c>
      <c r="B251" t="str">
        <f>"09.0900"</f>
        <v>09.0900</v>
      </c>
      <c r="C251" t="s">
        <v>233</v>
      </c>
    </row>
    <row r="252" spans="1:3" x14ac:dyDescent="0.25">
      <c r="A252" t="str">
        <f t="shared" si="8"/>
        <v>09</v>
      </c>
      <c r="B252" t="str">
        <f>"09.0901"</f>
        <v>09.0901</v>
      </c>
      <c r="C252" t="s">
        <v>234</v>
      </c>
    </row>
    <row r="253" spans="1:3" x14ac:dyDescent="0.25">
      <c r="A253" t="str">
        <f t="shared" si="8"/>
        <v>09</v>
      </c>
      <c r="B253" t="str">
        <f>"09.0902"</f>
        <v>09.0902</v>
      </c>
      <c r="C253" t="s">
        <v>235</v>
      </c>
    </row>
    <row r="254" spans="1:3" x14ac:dyDescent="0.25">
      <c r="A254" t="str">
        <f t="shared" si="8"/>
        <v>09</v>
      </c>
      <c r="B254" t="str">
        <f>"09.0903"</f>
        <v>09.0903</v>
      </c>
      <c r="C254" t="s">
        <v>236</v>
      </c>
    </row>
    <row r="255" spans="1:3" x14ac:dyDescent="0.25">
      <c r="A255" t="str">
        <f t="shared" si="8"/>
        <v>09</v>
      </c>
      <c r="B255" t="str">
        <f>"09.0904"</f>
        <v>09.0904</v>
      </c>
      <c r="C255" t="s">
        <v>237</v>
      </c>
    </row>
    <row r="256" spans="1:3" x14ac:dyDescent="0.25">
      <c r="A256" t="str">
        <f t="shared" si="8"/>
        <v>09</v>
      </c>
      <c r="B256" t="str">
        <f>"09.0905"</f>
        <v>09.0905</v>
      </c>
      <c r="C256" t="s">
        <v>238</v>
      </c>
    </row>
    <row r="257" spans="1:3" x14ac:dyDescent="0.25">
      <c r="A257" t="str">
        <f t="shared" si="8"/>
        <v>09</v>
      </c>
      <c r="B257" t="str">
        <f>"09.0906"</f>
        <v>09.0906</v>
      </c>
      <c r="C257" t="s">
        <v>239</v>
      </c>
    </row>
    <row r="258" spans="1:3" x14ac:dyDescent="0.25">
      <c r="A258" t="str">
        <f t="shared" si="8"/>
        <v>09</v>
      </c>
      <c r="B258" t="str">
        <f>"09.0907"</f>
        <v>09.0907</v>
      </c>
      <c r="C258" t="s">
        <v>240</v>
      </c>
    </row>
    <row r="259" spans="1:3" x14ac:dyDescent="0.25">
      <c r="A259" t="str">
        <f t="shared" si="8"/>
        <v>09</v>
      </c>
      <c r="B259" t="str">
        <f>"09.0908"</f>
        <v>09.0908</v>
      </c>
      <c r="C259" t="s">
        <v>241</v>
      </c>
    </row>
    <row r="260" spans="1:3" x14ac:dyDescent="0.25">
      <c r="A260" t="str">
        <f t="shared" si="8"/>
        <v>09</v>
      </c>
      <c r="B260" t="str">
        <f>"09.0909"</f>
        <v>09.0909</v>
      </c>
      <c r="C260" t="s">
        <v>242</v>
      </c>
    </row>
    <row r="261" spans="1:3" x14ac:dyDescent="0.25">
      <c r="A261" t="str">
        <f t="shared" si="8"/>
        <v>09</v>
      </c>
      <c r="B261" t="str">
        <f>"09.0999"</f>
        <v>09.0999</v>
      </c>
      <c r="C261" t="s">
        <v>243</v>
      </c>
    </row>
    <row r="262" spans="1:3" x14ac:dyDescent="0.25">
      <c r="A262" t="str">
        <f t="shared" si="8"/>
        <v>09</v>
      </c>
      <c r="B262" t="str">
        <f>"09.10"</f>
        <v>09.10</v>
      </c>
      <c r="C262" t="s">
        <v>244</v>
      </c>
    </row>
    <row r="263" spans="1:3" x14ac:dyDescent="0.25">
      <c r="A263" t="str">
        <f t="shared" si="8"/>
        <v>09</v>
      </c>
      <c r="B263" t="str">
        <f>"09.1001"</f>
        <v>09.1001</v>
      </c>
      <c r="C263" t="s">
        <v>244</v>
      </c>
    </row>
    <row r="264" spans="1:3" x14ac:dyDescent="0.25">
      <c r="A264" t="str">
        <f t="shared" si="8"/>
        <v>09</v>
      </c>
      <c r="B264" t="str">
        <f>"09.99"</f>
        <v>09.99</v>
      </c>
      <c r="C264" t="s">
        <v>245</v>
      </c>
    </row>
    <row r="265" spans="1:3" x14ac:dyDescent="0.25">
      <c r="A265" t="str">
        <f t="shared" si="8"/>
        <v>09</v>
      </c>
      <c r="B265" t="str">
        <f>"09.9999"</f>
        <v>09.9999</v>
      </c>
      <c r="C265" t="s">
        <v>245</v>
      </c>
    </row>
    <row r="266" spans="1:3" x14ac:dyDescent="0.25">
      <c r="A266" t="str">
        <f>"10"</f>
        <v>10</v>
      </c>
      <c r="B266" t="str">
        <f>"10"</f>
        <v>10</v>
      </c>
      <c r="C266" t="s">
        <v>246</v>
      </c>
    </row>
    <row r="267" spans="1:3" x14ac:dyDescent="0.25">
      <c r="A267" t="str">
        <f t="shared" ref="A267:A286" si="9">"10"</f>
        <v>10</v>
      </c>
      <c r="B267" t="str">
        <f>"10.01"</f>
        <v>10.01</v>
      </c>
      <c r="C267" t="s">
        <v>247</v>
      </c>
    </row>
    <row r="268" spans="1:3" x14ac:dyDescent="0.25">
      <c r="A268" t="str">
        <f t="shared" si="9"/>
        <v>10</v>
      </c>
      <c r="B268" t="str">
        <f>"10.0105"</f>
        <v>10.0105</v>
      </c>
      <c r="C268" t="s">
        <v>248</v>
      </c>
    </row>
    <row r="269" spans="1:3" x14ac:dyDescent="0.25">
      <c r="A269" t="str">
        <f t="shared" si="9"/>
        <v>10</v>
      </c>
      <c r="B269" t="str">
        <f>"10.02"</f>
        <v>10.02</v>
      </c>
      <c r="C269" t="s">
        <v>249</v>
      </c>
    </row>
    <row r="270" spans="1:3" x14ac:dyDescent="0.25">
      <c r="A270" t="str">
        <f t="shared" si="9"/>
        <v>10</v>
      </c>
      <c r="B270" t="str">
        <f>"10.0201"</f>
        <v>10.0201</v>
      </c>
      <c r="C270" t="s">
        <v>250</v>
      </c>
    </row>
    <row r="271" spans="1:3" x14ac:dyDescent="0.25">
      <c r="A271" t="str">
        <f t="shared" si="9"/>
        <v>10</v>
      </c>
      <c r="B271" t="str">
        <f>"10.0202"</f>
        <v>10.0202</v>
      </c>
      <c r="C271" t="s">
        <v>251</v>
      </c>
    </row>
    <row r="272" spans="1:3" x14ac:dyDescent="0.25">
      <c r="A272" t="str">
        <f t="shared" si="9"/>
        <v>10</v>
      </c>
      <c r="B272" t="str">
        <f>"10.0203"</f>
        <v>10.0203</v>
      </c>
      <c r="C272" t="s">
        <v>252</v>
      </c>
    </row>
    <row r="273" spans="1:3" x14ac:dyDescent="0.25">
      <c r="A273" t="str">
        <f t="shared" si="9"/>
        <v>10</v>
      </c>
      <c r="B273" t="str">
        <f>"10.0204"</f>
        <v>10.0204</v>
      </c>
      <c r="C273" t="s">
        <v>253</v>
      </c>
    </row>
    <row r="274" spans="1:3" x14ac:dyDescent="0.25">
      <c r="A274" t="str">
        <f t="shared" si="9"/>
        <v>10</v>
      </c>
      <c r="B274" t="str">
        <f>"10.0299"</f>
        <v>10.0299</v>
      </c>
      <c r="C274" t="s">
        <v>254</v>
      </c>
    </row>
    <row r="275" spans="1:3" x14ac:dyDescent="0.25">
      <c r="A275" t="str">
        <f t="shared" si="9"/>
        <v>10</v>
      </c>
      <c r="B275" t="str">
        <f>"10.03"</f>
        <v>10.03</v>
      </c>
      <c r="C275" t="s">
        <v>255</v>
      </c>
    </row>
    <row r="276" spans="1:3" x14ac:dyDescent="0.25">
      <c r="A276" t="str">
        <f t="shared" si="9"/>
        <v>10</v>
      </c>
      <c r="B276" t="str">
        <f>"10.0301"</f>
        <v>10.0301</v>
      </c>
      <c r="C276" t="s">
        <v>256</v>
      </c>
    </row>
    <row r="277" spans="1:3" x14ac:dyDescent="0.25">
      <c r="A277" t="str">
        <f t="shared" si="9"/>
        <v>10</v>
      </c>
      <c r="B277" t="str">
        <f>"10.0302"</f>
        <v>10.0302</v>
      </c>
      <c r="C277" t="s">
        <v>257</v>
      </c>
    </row>
    <row r="278" spans="1:3" x14ac:dyDescent="0.25">
      <c r="A278" t="str">
        <f t="shared" si="9"/>
        <v>10</v>
      </c>
      <c r="B278" t="str">
        <f>"10.0303"</f>
        <v>10.0303</v>
      </c>
      <c r="C278" t="s">
        <v>258</v>
      </c>
    </row>
    <row r="279" spans="1:3" x14ac:dyDescent="0.25">
      <c r="A279" t="str">
        <f t="shared" si="9"/>
        <v>10</v>
      </c>
      <c r="B279" t="str">
        <f>"10.0304"</f>
        <v>10.0304</v>
      </c>
      <c r="C279" t="s">
        <v>259</v>
      </c>
    </row>
    <row r="280" spans="1:3" x14ac:dyDescent="0.25">
      <c r="A280" t="str">
        <f t="shared" si="9"/>
        <v>10</v>
      </c>
      <c r="B280" t="str">
        <f>"10.0305"</f>
        <v>10.0305</v>
      </c>
      <c r="C280" t="s">
        <v>260</v>
      </c>
    </row>
    <row r="281" spans="1:3" x14ac:dyDescent="0.25">
      <c r="A281" t="str">
        <f t="shared" si="9"/>
        <v>10</v>
      </c>
      <c r="B281" t="str">
        <f>"10.0306"</f>
        <v>10.0306</v>
      </c>
      <c r="C281" t="s">
        <v>261</v>
      </c>
    </row>
    <row r="282" spans="1:3" x14ac:dyDescent="0.25">
      <c r="A282" t="str">
        <f t="shared" si="9"/>
        <v>10</v>
      </c>
      <c r="B282" t="str">
        <f>"10.0307"</f>
        <v>10.0307</v>
      </c>
      <c r="C282" t="s">
        <v>262</v>
      </c>
    </row>
    <row r="283" spans="1:3" x14ac:dyDescent="0.25">
      <c r="A283" t="str">
        <f t="shared" si="9"/>
        <v>10</v>
      </c>
      <c r="B283" t="str">
        <f>"10.0308"</f>
        <v>10.0308</v>
      </c>
      <c r="C283" t="s">
        <v>263</v>
      </c>
    </row>
    <row r="284" spans="1:3" x14ac:dyDescent="0.25">
      <c r="A284" t="str">
        <f t="shared" si="9"/>
        <v>10</v>
      </c>
      <c r="B284" t="str">
        <f>"10.0399"</f>
        <v>10.0399</v>
      </c>
      <c r="C284" t="s">
        <v>264</v>
      </c>
    </row>
    <row r="285" spans="1:3" x14ac:dyDescent="0.25">
      <c r="A285" t="str">
        <f t="shared" si="9"/>
        <v>10</v>
      </c>
      <c r="B285" t="str">
        <f>"10.99"</f>
        <v>10.99</v>
      </c>
      <c r="C285" t="s">
        <v>265</v>
      </c>
    </row>
    <row r="286" spans="1:3" x14ac:dyDescent="0.25">
      <c r="A286" t="str">
        <f t="shared" si="9"/>
        <v>10</v>
      </c>
      <c r="B286" t="str">
        <f>"10.9999"</f>
        <v>10.9999</v>
      </c>
      <c r="C286" t="s">
        <v>265</v>
      </c>
    </row>
    <row r="287" spans="1:3" x14ac:dyDescent="0.25">
      <c r="A287" t="str">
        <f>"11"</f>
        <v>11</v>
      </c>
      <c r="B287" t="str">
        <f>"11"</f>
        <v>11</v>
      </c>
      <c r="C287" t="s">
        <v>266</v>
      </c>
    </row>
    <row r="288" spans="1:3" x14ac:dyDescent="0.25">
      <c r="A288" t="str">
        <f t="shared" ref="A288:A333" si="10">"11"</f>
        <v>11</v>
      </c>
      <c r="B288" t="str">
        <f>"11.01"</f>
        <v>11.01</v>
      </c>
      <c r="C288" t="s">
        <v>267</v>
      </c>
    </row>
    <row r="289" spans="1:3" x14ac:dyDescent="0.25">
      <c r="A289" t="str">
        <f t="shared" si="10"/>
        <v>11</v>
      </c>
      <c r="B289" t="str">
        <f>"11.0101"</f>
        <v>11.0101</v>
      </c>
      <c r="C289" t="s">
        <v>267</v>
      </c>
    </row>
    <row r="290" spans="1:3" x14ac:dyDescent="0.25">
      <c r="A290" t="str">
        <f t="shared" si="10"/>
        <v>11</v>
      </c>
      <c r="B290" t="str">
        <f>"11.0102"</f>
        <v>11.0102</v>
      </c>
      <c r="C290" t="s">
        <v>268</v>
      </c>
    </row>
    <row r="291" spans="1:3" x14ac:dyDescent="0.25">
      <c r="A291" t="str">
        <f t="shared" si="10"/>
        <v>11</v>
      </c>
      <c r="B291" t="str">
        <f>"11.0103"</f>
        <v>11.0103</v>
      </c>
      <c r="C291" t="s">
        <v>269</v>
      </c>
    </row>
    <row r="292" spans="1:3" x14ac:dyDescent="0.25">
      <c r="A292" t="str">
        <f t="shared" si="10"/>
        <v>11</v>
      </c>
      <c r="B292" t="str">
        <f>"11.0104"</f>
        <v>11.0104</v>
      </c>
      <c r="C292" t="s">
        <v>270</v>
      </c>
    </row>
    <row r="293" spans="1:3" x14ac:dyDescent="0.25">
      <c r="A293" t="str">
        <f t="shared" si="10"/>
        <v>11</v>
      </c>
      <c r="B293" t="str">
        <f>"11.0105"</f>
        <v>11.0105</v>
      </c>
      <c r="C293" t="s">
        <v>271</v>
      </c>
    </row>
    <row r="294" spans="1:3" x14ac:dyDescent="0.25">
      <c r="A294" t="str">
        <f t="shared" si="10"/>
        <v>11</v>
      </c>
      <c r="B294" t="str">
        <f>"11.0199"</f>
        <v>11.0199</v>
      </c>
      <c r="C294" t="s">
        <v>272</v>
      </c>
    </row>
    <row r="295" spans="1:3" x14ac:dyDescent="0.25">
      <c r="A295" t="str">
        <f t="shared" si="10"/>
        <v>11</v>
      </c>
      <c r="B295" t="str">
        <f>"11.02"</f>
        <v>11.02</v>
      </c>
      <c r="C295" t="s">
        <v>273</v>
      </c>
    </row>
    <row r="296" spans="1:3" x14ac:dyDescent="0.25">
      <c r="A296" t="str">
        <f t="shared" si="10"/>
        <v>11</v>
      </c>
      <c r="B296" t="str">
        <f>"11.0201"</f>
        <v>11.0201</v>
      </c>
      <c r="C296" t="s">
        <v>274</v>
      </c>
    </row>
    <row r="297" spans="1:3" x14ac:dyDescent="0.25">
      <c r="A297" t="str">
        <f t="shared" si="10"/>
        <v>11</v>
      </c>
      <c r="B297" t="str">
        <f>"11.0202"</f>
        <v>11.0202</v>
      </c>
      <c r="C297" t="s">
        <v>275</v>
      </c>
    </row>
    <row r="298" spans="1:3" x14ac:dyDescent="0.25">
      <c r="A298" t="str">
        <f t="shared" si="10"/>
        <v>11</v>
      </c>
      <c r="B298" t="str">
        <f>"11.0203"</f>
        <v>11.0203</v>
      </c>
      <c r="C298" t="s">
        <v>276</v>
      </c>
    </row>
    <row r="299" spans="1:3" x14ac:dyDescent="0.25">
      <c r="A299" t="str">
        <f t="shared" si="10"/>
        <v>11</v>
      </c>
      <c r="B299" t="str">
        <f>"11.0204"</f>
        <v>11.0204</v>
      </c>
      <c r="C299" t="s">
        <v>277</v>
      </c>
    </row>
    <row r="300" spans="1:3" x14ac:dyDescent="0.25">
      <c r="A300" t="str">
        <f t="shared" si="10"/>
        <v>11</v>
      </c>
      <c r="B300" t="str">
        <f>"11.0205"</f>
        <v>11.0205</v>
      </c>
      <c r="C300" t="s">
        <v>278</v>
      </c>
    </row>
    <row r="301" spans="1:3" x14ac:dyDescent="0.25">
      <c r="A301" t="str">
        <f t="shared" si="10"/>
        <v>11</v>
      </c>
      <c r="B301" t="str">
        <f>"11.0299"</f>
        <v>11.0299</v>
      </c>
      <c r="C301" t="s">
        <v>279</v>
      </c>
    </row>
    <row r="302" spans="1:3" x14ac:dyDescent="0.25">
      <c r="A302" t="str">
        <f t="shared" si="10"/>
        <v>11</v>
      </c>
      <c r="B302" t="str">
        <f>"11.03"</f>
        <v>11.03</v>
      </c>
      <c r="C302" t="s">
        <v>280</v>
      </c>
    </row>
    <row r="303" spans="1:3" x14ac:dyDescent="0.25">
      <c r="A303" t="str">
        <f t="shared" si="10"/>
        <v>11</v>
      </c>
      <c r="B303" t="str">
        <f>"11.0301"</f>
        <v>11.0301</v>
      </c>
      <c r="C303" t="s">
        <v>281</v>
      </c>
    </row>
    <row r="304" spans="1:3" x14ac:dyDescent="0.25">
      <c r="A304" t="str">
        <f t="shared" si="10"/>
        <v>11</v>
      </c>
      <c r="B304" t="str">
        <f>"11.04"</f>
        <v>11.04</v>
      </c>
      <c r="C304" t="s">
        <v>282</v>
      </c>
    </row>
    <row r="305" spans="1:3" x14ac:dyDescent="0.25">
      <c r="A305" t="str">
        <f t="shared" si="10"/>
        <v>11</v>
      </c>
      <c r="B305" t="str">
        <f>"11.0401"</f>
        <v>11.0401</v>
      </c>
      <c r="C305" t="s">
        <v>282</v>
      </c>
    </row>
    <row r="306" spans="1:3" x14ac:dyDescent="0.25">
      <c r="A306" t="str">
        <f t="shared" si="10"/>
        <v>11</v>
      </c>
      <c r="B306" t="str">
        <f>"11.05"</f>
        <v>11.05</v>
      </c>
      <c r="C306" t="s">
        <v>283</v>
      </c>
    </row>
    <row r="307" spans="1:3" x14ac:dyDescent="0.25">
      <c r="A307" t="str">
        <f t="shared" si="10"/>
        <v>11</v>
      </c>
      <c r="B307" t="str">
        <f>"11.0501"</f>
        <v>11.0501</v>
      </c>
      <c r="C307" t="s">
        <v>284</v>
      </c>
    </row>
    <row r="308" spans="1:3" x14ac:dyDescent="0.25">
      <c r="A308" t="str">
        <f t="shared" si="10"/>
        <v>11</v>
      </c>
      <c r="B308" t="str">
        <f>"11.06"</f>
        <v>11.06</v>
      </c>
      <c r="C308" t="s">
        <v>285</v>
      </c>
    </row>
    <row r="309" spans="1:3" x14ac:dyDescent="0.25">
      <c r="A309" t="str">
        <f t="shared" si="10"/>
        <v>11</v>
      </c>
      <c r="B309" t="str">
        <f>"11.0601"</f>
        <v>11.0601</v>
      </c>
      <c r="C309" t="s">
        <v>286</v>
      </c>
    </row>
    <row r="310" spans="1:3" x14ac:dyDescent="0.25">
      <c r="A310" t="str">
        <f t="shared" si="10"/>
        <v>11</v>
      </c>
      <c r="B310" t="str">
        <f>"11.0602"</f>
        <v>11.0602</v>
      </c>
      <c r="C310" t="s">
        <v>287</v>
      </c>
    </row>
    <row r="311" spans="1:3" x14ac:dyDescent="0.25">
      <c r="A311" t="str">
        <f t="shared" si="10"/>
        <v>11</v>
      </c>
      <c r="B311" t="str">
        <f>"11.0699"</f>
        <v>11.0699</v>
      </c>
      <c r="C311" t="s">
        <v>288</v>
      </c>
    </row>
    <row r="312" spans="1:3" x14ac:dyDescent="0.25">
      <c r="A312" t="str">
        <f t="shared" si="10"/>
        <v>11</v>
      </c>
      <c r="B312" t="str">
        <f>"11.07"</f>
        <v>11.07</v>
      </c>
      <c r="C312" t="s">
        <v>289</v>
      </c>
    </row>
    <row r="313" spans="1:3" x14ac:dyDescent="0.25">
      <c r="A313" t="str">
        <f t="shared" si="10"/>
        <v>11</v>
      </c>
      <c r="B313" t="str">
        <f>"11.0701"</f>
        <v>11.0701</v>
      </c>
      <c r="C313" t="s">
        <v>289</v>
      </c>
    </row>
    <row r="314" spans="1:3" x14ac:dyDescent="0.25">
      <c r="A314" t="str">
        <f t="shared" si="10"/>
        <v>11</v>
      </c>
      <c r="B314" t="str">
        <f>"11.08"</f>
        <v>11.08</v>
      </c>
      <c r="C314" t="s">
        <v>290</v>
      </c>
    </row>
    <row r="315" spans="1:3" x14ac:dyDescent="0.25">
      <c r="A315" t="str">
        <f t="shared" si="10"/>
        <v>11</v>
      </c>
      <c r="B315" t="str">
        <f>"11.0801"</f>
        <v>11.0801</v>
      </c>
      <c r="C315" t="s">
        <v>291</v>
      </c>
    </row>
    <row r="316" spans="1:3" x14ac:dyDescent="0.25">
      <c r="A316" t="str">
        <f t="shared" si="10"/>
        <v>11</v>
      </c>
      <c r="B316" t="str">
        <f>"11.0802"</f>
        <v>11.0802</v>
      </c>
      <c r="C316" t="s">
        <v>292</v>
      </c>
    </row>
    <row r="317" spans="1:3" x14ac:dyDescent="0.25">
      <c r="A317" t="str">
        <f t="shared" si="10"/>
        <v>11</v>
      </c>
      <c r="B317" t="str">
        <f>"11.0803"</f>
        <v>11.0803</v>
      </c>
      <c r="C317" t="s">
        <v>293</v>
      </c>
    </row>
    <row r="318" spans="1:3" x14ac:dyDescent="0.25">
      <c r="A318" t="str">
        <f t="shared" si="10"/>
        <v>11</v>
      </c>
      <c r="B318" t="str">
        <f>"11.0804"</f>
        <v>11.0804</v>
      </c>
      <c r="C318" t="s">
        <v>294</v>
      </c>
    </row>
    <row r="319" spans="1:3" x14ac:dyDescent="0.25">
      <c r="A319" t="str">
        <f t="shared" si="10"/>
        <v>11</v>
      </c>
      <c r="B319" t="str">
        <f>"11.0899"</f>
        <v>11.0899</v>
      </c>
      <c r="C319" t="s">
        <v>295</v>
      </c>
    </row>
    <row r="320" spans="1:3" x14ac:dyDescent="0.25">
      <c r="A320" t="str">
        <f t="shared" si="10"/>
        <v>11</v>
      </c>
      <c r="B320" t="str">
        <f>"11.09"</f>
        <v>11.09</v>
      </c>
      <c r="C320" t="s">
        <v>296</v>
      </c>
    </row>
    <row r="321" spans="1:3" x14ac:dyDescent="0.25">
      <c r="A321" t="str">
        <f t="shared" si="10"/>
        <v>11</v>
      </c>
      <c r="B321" t="str">
        <f>"11.0901"</f>
        <v>11.0901</v>
      </c>
      <c r="C321" t="s">
        <v>296</v>
      </c>
    </row>
    <row r="322" spans="1:3" x14ac:dyDescent="0.25">
      <c r="A322" t="str">
        <f t="shared" si="10"/>
        <v>11</v>
      </c>
      <c r="B322" t="str">
        <f>"11.0902"</f>
        <v>11.0902</v>
      </c>
      <c r="C322" t="s">
        <v>297</v>
      </c>
    </row>
    <row r="323" spans="1:3" x14ac:dyDescent="0.25">
      <c r="A323" t="str">
        <f t="shared" si="10"/>
        <v>11</v>
      </c>
      <c r="B323" t="str">
        <f>"11.0999"</f>
        <v>11.0999</v>
      </c>
      <c r="C323" t="s">
        <v>298</v>
      </c>
    </row>
    <row r="324" spans="1:3" x14ac:dyDescent="0.25">
      <c r="A324" t="str">
        <f t="shared" si="10"/>
        <v>11</v>
      </c>
      <c r="B324" t="str">
        <f>"11.10"</f>
        <v>11.10</v>
      </c>
      <c r="C324" t="s">
        <v>299</v>
      </c>
    </row>
    <row r="325" spans="1:3" x14ac:dyDescent="0.25">
      <c r="A325" t="str">
        <f t="shared" si="10"/>
        <v>11</v>
      </c>
      <c r="B325" t="str">
        <f>"11.1001"</f>
        <v>11.1001</v>
      </c>
      <c r="C325" t="s">
        <v>300</v>
      </c>
    </row>
    <row r="326" spans="1:3" x14ac:dyDescent="0.25">
      <c r="A326" t="str">
        <f t="shared" si="10"/>
        <v>11</v>
      </c>
      <c r="B326" t="str">
        <f>"11.1002"</f>
        <v>11.1002</v>
      </c>
      <c r="C326" t="s">
        <v>301</v>
      </c>
    </row>
    <row r="327" spans="1:3" x14ac:dyDescent="0.25">
      <c r="A327" t="str">
        <f t="shared" si="10"/>
        <v>11</v>
      </c>
      <c r="B327" t="str">
        <f>"11.1003"</f>
        <v>11.1003</v>
      </c>
      <c r="C327" t="s">
        <v>302</v>
      </c>
    </row>
    <row r="328" spans="1:3" x14ac:dyDescent="0.25">
      <c r="A328" t="str">
        <f t="shared" si="10"/>
        <v>11</v>
      </c>
      <c r="B328" t="str">
        <f>"11.1004"</f>
        <v>11.1004</v>
      </c>
      <c r="C328" t="s">
        <v>303</v>
      </c>
    </row>
    <row r="329" spans="1:3" x14ac:dyDescent="0.25">
      <c r="A329" t="str">
        <f t="shared" si="10"/>
        <v>11</v>
      </c>
      <c r="B329" t="str">
        <f>"11.1005"</f>
        <v>11.1005</v>
      </c>
      <c r="C329" t="s">
        <v>304</v>
      </c>
    </row>
    <row r="330" spans="1:3" x14ac:dyDescent="0.25">
      <c r="A330" t="str">
        <f t="shared" si="10"/>
        <v>11</v>
      </c>
      <c r="B330" t="str">
        <f>"11.1006"</f>
        <v>11.1006</v>
      </c>
      <c r="C330" t="s">
        <v>305</v>
      </c>
    </row>
    <row r="331" spans="1:3" x14ac:dyDescent="0.25">
      <c r="A331" t="str">
        <f t="shared" si="10"/>
        <v>11</v>
      </c>
      <c r="B331" t="str">
        <f>"11.1099"</f>
        <v>11.1099</v>
      </c>
      <c r="C331" t="s">
        <v>306</v>
      </c>
    </row>
    <row r="332" spans="1:3" x14ac:dyDescent="0.25">
      <c r="A332" t="str">
        <f t="shared" si="10"/>
        <v>11</v>
      </c>
      <c r="B332" t="str">
        <f>"11.99"</f>
        <v>11.99</v>
      </c>
      <c r="C332" t="s">
        <v>307</v>
      </c>
    </row>
    <row r="333" spans="1:3" x14ac:dyDescent="0.25">
      <c r="A333" t="str">
        <f t="shared" si="10"/>
        <v>11</v>
      </c>
      <c r="B333" t="str">
        <f>"11.9999"</f>
        <v>11.9999</v>
      </c>
      <c r="C333" t="s">
        <v>307</v>
      </c>
    </row>
    <row r="334" spans="1:3" x14ac:dyDescent="0.25">
      <c r="A334" t="str">
        <f>"12"</f>
        <v>12</v>
      </c>
      <c r="B334" t="str">
        <f>"12"</f>
        <v>12</v>
      </c>
      <c r="C334" t="s">
        <v>308</v>
      </c>
    </row>
    <row r="335" spans="1:3" x14ac:dyDescent="0.25">
      <c r="A335" t="str">
        <f t="shared" ref="A335:A373" si="11">"12"</f>
        <v>12</v>
      </c>
      <c r="B335" t="str">
        <f>"12.03"</f>
        <v>12.03</v>
      </c>
      <c r="C335" t="s">
        <v>309</v>
      </c>
    </row>
    <row r="336" spans="1:3" x14ac:dyDescent="0.25">
      <c r="A336" t="str">
        <f t="shared" si="11"/>
        <v>12</v>
      </c>
      <c r="B336" t="str">
        <f>"12.0301"</f>
        <v>12.0301</v>
      </c>
      <c r="C336" t="s">
        <v>310</v>
      </c>
    </row>
    <row r="337" spans="1:3" x14ac:dyDescent="0.25">
      <c r="A337" t="str">
        <f t="shared" si="11"/>
        <v>12</v>
      </c>
      <c r="B337" t="str">
        <f>"12.0302"</f>
        <v>12.0302</v>
      </c>
      <c r="C337" t="s">
        <v>311</v>
      </c>
    </row>
    <row r="338" spans="1:3" x14ac:dyDescent="0.25">
      <c r="A338" t="str">
        <f t="shared" si="11"/>
        <v>12</v>
      </c>
      <c r="B338" t="str">
        <f>"12.0303"</f>
        <v>12.0303</v>
      </c>
      <c r="C338" t="s">
        <v>312</v>
      </c>
    </row>
    <row r="339" spans="1:3" x14ac:dyDescent="0.25">
      <c r="A339" t="str">
        <f t="shared" si="11"/>
        <v>12</v>
      </c>
      <c r="B339" t="str">
        <f>"12.0399"</f>
        <v>12.0399</v>
      </c>
      <c r="C339" t="s">
        <v>313</v>
      </c>
    </row>
    <row r="340" spans="1:3" x14ac:dyDescent="0.25">
      <c r="A340" t="str">
        <f t="shared" si="11"/>
        <v>12</v>
      </c>
      <c r="B340" t="str">
        <f>"12.04"</f>
        <v>12.04</v>
      </c>
      <c r="C340" t="s">
        <v>314</v>
      </c>
    </row>
    <row r="341" spans="1:3" x14ac:dyDescent="0.25">
      <c r="A341" t="str">
        <f t="shared" si="11"/>
        <v>12</v>
      </c>
      <c r="B341" t="str">
        <f>"12.0401"</f>
        <v>12.0401</v>
      </c>
      <c r="C341" t="s">
        <v>315</v>
      </c>
    </row>
    <row r="342" spans="1:3" x14ac:dyDescent="0.25">
      <c r="A342" t="str">
        <f t="shared" si="11"/>
        <v>12</v>
      </c>
      <c r="B342" t="str">
        <f>"12.0402"</f>
        <v>12.0402</v>
      </c>
      <c r="C342" t="s">
        <v>316</v>
      </c>
    </row>
    <row r="343" spans="1:3" x14ac:dyDescent="0.25">
      <c r="A343" t="str">
        <f t="shared" si="11"/>
        <v>12</v>
      </c>
      <c r="B343" t="str">
        <f>"12.0404"</f>
        <v>12.0404</v>
      </c>
      <c r="C343" t="s">
        <v>317</v>
      </c>
    </row>
    <row r="344" spans="1:3" x14ac:dyDescent="0.25">
      <c r="A344" t="str">
        <f t="shared" si="11"/>
        <v>12</v>
      </c>
      <c r="B344" t="str">
        <f>"12.0406"</f>
        <v>12.0406</v>
      </c>
      <c r="C344" t="s">
        <v>318</v>
      </c>
    </row>
    <row r="345" spans="1:3" x14ac:dyDescent="0.25">
      <c r="A345" t="str">
        <f t="shared" si="11"/>
        <v>12</v>
      </c>
      <c r="B345" t="str">
        <f>"12.0407"</f>
        <v>12.0407</v>
      </c>
      <c r="C345" t="s">
        <v>319</v>
      </c>
    </row>
    <row r="346" spans="1:3" x14ac:dyDescent="0.25">
      <c r="A346" t="str">
        <f t="shared" si="11"/>
        <v>12</v>
      </c>
      <c r="B346" t="str">
        <f>"12.0408"</f>
        <v>12.0408</v>
      </c>
      <c r="C346" t="s">
        <v>320</v>
      </c>
    </row>
    <row r="347" spans="1:3" x14ac:dyDescent="0.25">
      <c r="A347" t="str">
        <f t="shared" si="11"/>
        <v>12</v>
      </c>
      <c r="B347" t="str">
        <f>"12.0409"</f>
        <v>12.0409</v>
      </c>
      <c r="C347" t="s">
        <v>321</v>
      </c>
    </row>
    <row r="348" spans="1:3" x14ac:dyDescent="0.25">
      <c r="A348" t="str">
        <f t="shared" si="11"/>
        <v>12</v>
      </c>
      <c r="B348" t="str">
        <f>"12.0410"</f>
        <v>12.0410</v>
      </c>
      <c r="C348" t="s">
        <v>322</v>
      </c>
    </row>
    <row r="349" spans="1:3" x14ac:dyDescent="0.25">
      <c r="A349" t="str">
        <f t="shared" si="11"/>
        <v>12</v>
      </c>
      <c r="B349" t="str">
        <f>"12.0411"</f>
        <v>12.0411</v>
      </c>
      <c r="C349" t="s">
        <v>323</v>
      </c>
    </row>
    <row r="350" spans="1:3" x14ac:dyDescent="0.25">
      <c r="A350" t="str">
        <f t="shared" si="11"/>
        <v>12</v>
      </c>
      <c r="B350" t="str">
        <f>"12.0412"</f>
        <v>12.0412</v>
      </c>
      <c r="C350" t="s">
        <v>324</v>
      </c>
    </row>
    <row r="351" spans="1:3" x14ac:dyDescent="0.25">
      <c r="A351" t="str">
        <f t="shared" si="11"/>
        <v>12</v>
      </c>
      <c r="B351" t="str">
        <f>"12.0413"</f>
        <v>12.0413</v>
      </c>
      <c r="C351" t="s">
        <v>325</v>
      </c>
    </row>
    <row r="352" spans="1:3" x14ac:dyDescent="0.25">
      <c r="A352" t="str">
        <f t="shared" si="11"/>
        <v>12</v>
      </c>
      <c r="B352" t="str">
        <f>"12.0414"</f>
        <v>12.0414</v>
      </c>
      <c r="C352" t="s">
        <v>326</v>
      </c>
    </row>
    <row r="353" spans="1:3" x14ac:dyDescent="0.25">
      <c r="A353" t="str">
        <f t="shared" si="11"/>
        <v>12</v>
      </c>
      <c r="B353" t="str">
        <f>"12.0499"</f>
        <v>12.0499</v>
      </c>
      <c r="C353" t="s">
        <v>327</v>
      </c>
    </row>
    <row r="354" spans="1:3" x14ac:dyDescent="0.25">
      <c r="A354" t="str">
        <f t="shared" si="11"/>
        <v>12</v>
      </c>
      <c r="B354" t="str">
        <f>"12.05"</f>
        <v>12.05</v>
      </c>
      <c r="C354" t="s">
        <v>328</v>
      </c>
    </row>
    <row r="355" spans="1:3" x14ac:dyDescent="0.25">
      <c r="A355" t="str">
        <f t="shared" si="11"/>
        <v>12</v>
      </c>
      <c r="B355" t="str">
        <f>"12.0500"</f>
        <v>12.0500</v>
      </c>
      <c r="C355" t="s">
        <v>329</v>
      </c>
    </row>
    <row r="356" spans="1:3" x14ac:dyDescent="0.25">
      <c r="A356" t="str">
        <f t="shared" si="11"/>
        <v>12</v>
      </c>
      <c r="B356" t="str">
        <f>"12.0501"</f>
        <v>12.0501</v>
      </c>
      <c r="C356" t="s">
        <v>330</v>
      </c>
    </row>
    <row r="357" spans="1:3" x14ac:dyDescent="0.25">
      <c r="A357" t="str">
        <f t="shared" si="11"/>
        <v>12</v>
      </c>
      <c r="B357" t="str">
        <f>"12.0502"</f>
        <v>12.0502</v>
      </c>
      <c r="C357" t="s">
        <v>331</v>
      </c>
    </row>
    <row r="358" spans="1:3" x14ac:dyDescent="0.25">
      <c r="A358" t="str">
        <f t="shared" si="11"/>
        <v>12</v>
      </c>
      <c r="B358" t="str">
        <f>"12.0503"</f>
        <v>12.0503</v>
      </c>
      <c r="C358" t="s">
        <v>332</v>
      </c>
    </row>
    <row r="359" spans="1:3" x14ac:dyDescent="0.25">
      <c r="A359" t="str">
        <f t="shared" si="11"/>
        <v>12</v>
      </c>
      <c r="B359" t="str">
        <f>"12.0504"</f>
        <v>12.0504</v>
      </c>
      <c r="C359" t="s">
        <v>333</v>
      </c>
    </row>
    <row r="360" spans="1:3" x14ac:dyDescent="0.25">
      <c r="A360" t="str">
        <f t="shared" si="11"/>
        <v>12</v>
      </c>
      <c r="B360" t="str">
        <f>"12.0505"</f>
        <v>12.0505</v>
      </c>
      <c r="C360" t="s">
        <v>334</v>
      </c>
    </row>
    <row r="361" spans="1:3" x14ac:dyDescent="0.25">
      <c r="A361" t="str">
        <f t="shared" si="11"/>
        <v>12</v>
      </c>
      <c r="B361" t="str">
        <f>"12.0506"</f>
        <v>12.0506</v>
      </c>
      <c r="C361" t="s">
        <v>335</v>
      </c>
    </row>
    <row r="362" spans="1:3" x14ac:dyDescent="0.25">
      <c r="A362" t="str">
        <f t="shared" si="11"/>
        <v>12</v>
      </c>
      <c r="B362" t="str">
        <f>"12.0507"</f>
        <v>12.0507</v>
      </c>
      <c r="C362" t="s">
        <v>336</v>
      </c>
    </row>
    <row r="363" spans="1:3" x14ac:dyDescent="0.25">
      <c r="A363" t="str">
        <f t="shared" si="11"/>
        <v>12</v>
      </c>
      <c r="B363" t="str">
        <f>"12.0508"</f>
        <v>12.0508</v>
      </c>
      <c r="C363" t="s">
        <v>337</v>
      </c>
    </row>
    <row r="364" spans="1:3" x14ac:dyDescent="0.25">
      <c r="A364" t="str">
        <f t="shared" si="11"/>
        <v>12</v>
      </c>
      <c r="B364" t="str">
        <f>"12.0509"</f>
        <v>12.0509</v>
      </c>
      <c r="C364" t="s">
        <v>338</v>
      </c>
    </row>
    <row r="365" spans="1:3" x14ac:dyDescent="0.25">
      <c r="A365" t="str">
        <f t="shared" si="11"/>
        <v>12</v>
      </c>
      <c r="B365" t="str">
        <f>"12.0510"</f>
        <v>12.0510</v>
      </c>
      <c r="C365" t="s">
        <v>339</v>
      </c>
    </row>
    <row r="366" spans="1:3" x14ac:dyDescent="0.25">
      <c r="A366" t="str">
        <f t="shared" si="11"/>
        <v>12</v>
      </c>
      <c r="B366" t="str">
        <f>"12.0580"</f>
        <v>12.0580</v>
      </c>
      <c r="C366" t="s">
        <v>31</v>
      </c>
    </row>
    <row r="367" spans="1:3" x14ac:dyDescent="0.25">
      <c r="A367" t="str">
        <f t="shared" si="11"/>
        <v>12</v>
      </c>
      <c r="B367" t="str">
        <f>"12.0599"</f>
        <v>12.0599</v>
      </c>
      <c r="C367" t="s">
        <v>340</v>
      </c>
    </row>
    <row r="368" spans="1:3" x14ac:dyDescent="0.25">
      <c r="A368" t="str">
        <f t="shared" si="11"/>
        <v>12</v>
      </c>
      <c r="B368" t="str">
        <f>"12.06"</f>
        <v>12.06</v>
      </c>
      <c r="C368" t="s">
        <v>341</v>
      </c>
    </row>
    <row r="369" spans="1:3" x14ac:dyDescent="0.25">
      <c r="A369" t="str">
        <f t="shared" si="11"/>
        <v>12</v>
      </c>
      <c r="B369" t="str">
        <f>"12.0601"</f>
        <v>12.0601</v>
      </c>
      <c r="C369" t="s">
        <v>342</v>
      </c>
    </row>
    <row r="370" spans="1:3" x14ac:dyDescent="0.25">
      <c r="A370" t="str">
        <f t="shared" si="11"/>
        <v>12</v>
      </c>
      <c r="B370" t="str">
        <f>"12.0602"</f>
        <v>12.0602</v>
      </c>
      <c r="C370" t="s">
        <v>343</v>
      </c>
    </row>
    <row r="371" spans="1:3" x14ac:dyDescent="0.25">
      <c r="A371" t="str">
        <f t="shared" si="11"/>
        <v>12</v>
      </c>
      <c r="B371" t="str">
        <f>"12.0699"</f>
        <v>12.0699</v>
      </c>
      <c r="C371" t="s">
        <v>344</v>
      </c>
    </row>
    <row r="372" spans="1:3" x14ac:dyDescent="0.25">
      <c r="A372" t="str">
        <f t="shared" si="11"/>
        <v>12</v>
      </c>
      <c r="B372" t="str">
        <f>"12.99"</f>
        <v>12.99</v>
      </c>
      <c r="C372" t="s">
        <v>345</v>
      </c>
    </row>
    <row r="373" spans="1:3" x14ac:dyDescent="0.25">
      <c r="A373" t="str">
        <f t="shared" si="11"/>
        <v>12</v>
      </c>
      <c r="B373" t="str">
        <f>"12.9999"</f>
        <v>12.9999</v>
      </c>
      <c r="C373" t="s">
        <v>345</v>
      </c>
    </row>
    <row r="374" spans="1:3" x14ac:dyDescent="0.25">
      <c r="A374" t="str">
        <f>"13"</f>
        <v>13</v>
      </c>
      <c r="B374" t="str">
        <f>"13"</f>
        <v>13</v>
      </c>
      <c r="C374" t="s">
        <v>346</v>
      </c>
    </row>
    <row r="375" spans="1:3" x14ac:dyDescent="0.25">
      <c r="A375" t="str">
        <f t="shared" ref="A375:A406" si="12">"13"</f>
        <v>13</v>
      </c>
      <c r="B375" t="str">
        <f>"13.01"</f>
        <v>13.01</v>
      </c>
      <c r="C375" t="s">
        <v>347</v>
      </c>
    </row>
    <row r="376" spans="1:3" x14ac:dyDescent="0.25">
      <c r="A376" t="str">
        <f t="shared" si="12"/>
        <v>13</v>
      </c>
      <c r="B376" t="str">
        <f>"13.0101"</f>
        <v>13.0101</v>
      </c>
      <c r="C376" t="s">
        <v>347</v>
      </c>
    </row>
    <row r="377" spans="1:3" x14ac:dyDescent="0.25">
      <c r="A377" t="str">
        <f t="shared" si="12"/>
        <v>13</v>
      </c>
      <c r="B377" t="str">
        <f>"13.02"</f>
        <v>13.02</v>
      </c>
      <c r="C377" t="s">
        <v>348</v>
      </c>
    </row>
    <row r="378" spans="1:3" x14ac:dyDescent="0.25">
      <c r="A378" t="str">
        <f t="shared" si="12"/>
        <v>13</v>
      </c>
      <c r="B378" t="str">
        <f>"13.0201"</f>
        <v>13.0201</v>
      </c>
      <c r="C378" t="s">
        <v>349</v>
      </c>
    </row>
    <row r="379" spans="1:3" x14ac:dyDescent="0.25">
      <c r="A379" t="str">
        <f t="shared" si="12"/>
        <v>13</v>
      </c>
      <c r="B379" t="str">
        <f>"13.0202"</f>
        <v>13.0202</v>
      </c>
      <c r="C379" t="s">
        <v>350</v>
      </c>
    </row>
    <row r="380" spans="1:3" x14ac:dyDescent="0.25">
      <c r="A380" t="str">
        <f t="shared" si="12"/>
        <v>13</v>
      </c>
      <c r="B380" t="str">
        <f>"13.0203"</f>
        <v>13.0203</v>
      </c>
      <c r="C380" t="s">
        <v>351</v>
      </c>
    </row>
    <row r="381" spans="1:3" x14ac:dyDescent="0.25">
      <c r="A381" t="str">
        <f t="shared" si="12"/>
        <v>13</v>
      </c>
      <c r="B381" t="str">
        <f>"13.0299"</f>
        <v>13.0299</v>
      </c>
      <c r="C381" t="s">
        <v>352</v>
      </c>
    </row>
    <row r="382" spans="1:3" x14ac:dyDescent="0.25">
      <c r="A382" t="str">
        <f t="shared" si="12"/>
        <v>13</v>
      </c>
      <c r="B382" t="str">
        <f>"13.03"</f>
        <v>13.03</v>
      </c>
      <c r="C382" t="s">
        <v>353</v>
      </c>
    </row>
    <row r="383" spans="1:3" x14ac:dyDescent="0.25">
      <c r="A383" t="str">
        <f t="shared" si="12"/>
        <v>13</v>
      </c>
      <c r="B383" t="str">
        <f>"13.0301"</f>
        <v>13.0301</v>
      </c>
      <c r="C383" t="s">
        <v>353</v>
      </c>
    </row>
    <row r="384" spans="1:3" x14ac:dyDescent="0.25">
      <c r="A384" t="str">
        <f t="shared" si="12"/>
        <v>13</v>
      </c>
      <c r="B384" t="str">
        <f>"13.04"</f>
        <v>13.04</v>
      </c>
      <c r="C384" t="s">
        <v>354</v>
      </c>
    </row>
    <row r="385" spans="1:3" x14ac:dyDescent="0.25">
      <c r="A385" t="str">
        <f t="shared" si="12"/>
        <v>13</v>
      </c>
      <c r="B385" t="str">
        <f>"13.0401"</f>
        <v>13.0401</v>
      </c>
      <c r="C385" t="s">
        <v>355</v>
      </c>
    </row>
    <row r="386" spans="1:3" x14ac:dyDescent="0.25">
      <c r="A386" t="str">
        <f t="shared" si="12"/>
        <v>13</v>
      </c>
      <c r="B386" t="str">
        <f>"13.0402"</f>
        <v>13.0402</v>
      </c>
      <c r="C386" t="s">
        <v>356</v>
      </c>
    </row>
    <row r="387" spans="1:3" x14ac:dyDescent="0.25">
      <c r="A387" t="str">
        <f t="shared" si="12"/>
        <v>13</v>
      </c>
      <c r="B387" t="str">
        <f>"13.0403"</f>
        <v>13.0403</v>
      </c>
      <c r="C387" t="s">
        <v>357</v>
      </c>
    </row>
    <row r="388" spans="1:3" x14ac:dyDescent="0.25">
      <c r="A388" t="str">
        <f t="shared" si="12"/>
        <v>13</v>
      </c>
      <c r="B388" t="str">
        <f>"13.0404"</f>
        <v>13.0404</v>
      </c>
      <c r="C388" t="s">
        <v>358</v>
      </c>
    </row>
    <row r="389" spans="1:3" x14ac:dyDescent="0.25">
      <c r="A389" t="str">
        <f t="shared" si="12"/>
        <v>13</v>
      </c>
      <c r="B389" t="str">
        <f>"13.0406"</f>
        <v>13.0406</v>
      </c>
      <c r="C389" t="s">
        <v>359</v>
      </c>
    </row>
    <row r="390" spans="1:3" x14ac:dyDescent="0.25">
      <c r="A390" t="str">
        <f t="shared" si="12"/>
        <v>13</v>
      </c>
      <c r="B390" t="str">
        <f>"13.0407"</f>
        <v>13.0407</v>
      </c>
      <c r="C390" t="s">
        <v>360</v>
      </c>
    </row>
    <row r="391" spans="1:3" x14ac:dyDescent="0.25">
      <c r="A391" t="str">
        <f t="shared" si="12"/>
        <v>13</v>
      </c>
      <c r="B391" t="str">
        <f>"13.0408"</f>
        <v>13.0408</v>
      </c>
      <c r="C391" t="s">
        <v>361</v>
      </c>
    </row>
    <row r="392" spans="1:3" x14ac:dyDescent="0.25">
      <c r="A392" t="str">
        <f t="shared" si="12"/>
        <v>13</v>
      </c>
      <c r="B392" t="str">
        <f>"13.0409"</f>
        <v>13.0409</v>
      </c>
      <c r="C392" t="s">
        <v>362</v>
      </c>
    </row>
    <row r="393" spans="1:3" x14ac:dyDescent="0.25">
      <c r="A393" t="str">
        <f t="shared" si="12"/>
        <v>13</v>
      </c>
      <c r="B393" t="str">
        <f>"13.0410"</f>
        <v>13.0410</v>
      </c>
      <c r="C393" t="s">
        <v>363</v>
      </c>
    </row>
    <row r="394" spans="1:3" x14ac:dyDescent="0.25">
      <c r="A394" t="str">
        <f t="shared" si="12"/>
        <v>13</v>
      </c>
      <c r="B394" t="str">
        <f>"13.0411"</f>
        <v>13.0411</v>
      </c>
      <c r="C394" t="s">
        <v>364</v>
      </c>
    </row>
    <row r="395" spans="1:3" x14ac:dyDescent="0.25">
      <c r="A395" t="str">
        <f t="shared" si="12"/>
        <v>13</v>
      </c>
      <c r="B395" t="str">
        <f>"13.0412"</f>
        <v>13.0412</v>
      </c>
      <c r="C395" t="s">
        <v>365</v>
      </c>
    </row>
    <row r="396" spans="1:3" x14ac:dyDescent="0.25">
      <c r="A396" t="str">
        <f t="shared" si="12"/>
        <v>13</v>
      </c>
      <c r="B396" t="str">
        <f>"13.0413"</f>
        <v>13.0413</v>
      </c>
      <c r="C396" t="s">
        <v>366</v>
      </c>
    </row>
    <row r="397" spans="1:3" x14ac:dyDescent="0.25">
      <c r="A397" t="str">
        <f t="shared" si="12"/>
        <v>13</v>
      </c>
      <c r="B397" t="str">
        <f>"13.0414"</f>
        <v>13.0414</v>
      </c>
      <c r="C397" t="s">
        <v>367</v>
      </c>
    </row>
    <row r="398" spans="1:3" x14ac:dyDescent="0.25">
      <c r="A398" t="str">
        <f t="shared" si="12"/>
        <v>13</v>
      </c>
      <c r="B398" t="str">
        <f>"13.0499"</f>
        <v>13.0499</v>
      </c>
      <c r="C398" t="s">
        <v>368</v>
      </c>
    </row>
    <row r="399" spans="1:3" x14ac:dyDescent="0.25">
      <c r="A399" t="str">
        <f t="shared" si="12"/>
        <v>13</v>
      </c>
      <c r="B399" t="str">
        <f>"13.05"</f>
        <v>13.05</v>
      </c>
      <c r="C399" t="s">
        <v>369</v>
      </c>
    </row>
    <row r="400" spans="1:3" x14ac:dyDescent="0.25">
      <c r="A400" t="str">
        <f t="shared" si="12"/>
        <v>13</v>
      </c>
      <c r="B400" t="str">
        <f>"13.0501"</f>
        <v>13.0501</v>
      </c>
      <c r="C400" t="s">
        <v>370</v>
      </c>
    </row>
    <row r="401" spans="1:3" x14ac:dyDescent="0.25">
      <c r="A401" t="str">
        <f t="shared" si="12"/>
        <v>13</v>
      </c>
      <c r="B401" t="str">
        <f>"13.06"</f>
        <v>13.06</v>
      </c>
      <c r="C401" t="s">
        <v>371</v>
      </c>
    </row>
    <row r="402" spans="1:3" x14ac:dyDescent="0.25">
      <c r="A402" t="str">
        <f t="shared" si="12"/>
        <v>13</v>
      </c>
      <c r="B402" t="str">
        <f>"13.0601"</f>
        <v>13.0601</v>
      </c>
      <c r="C402" t="s">
        <v>372</v>
      </c>
    </row>
    <row r="403" spans="1:3" x14ac:dyDescent="0.25">
      <c r="A403" t="str">
        <f t="shared" si="12"/>
        <v>13</v>
      </c>
      <c r="B403" t="str">
        <f>"13.0603"</f>
        <v>13.0603</v>
      </c>
      <c r="C403" t="s">
        <v>373</v>
      </c>
    </row>
    <row r="404" spans="1:3" x14ac:dyDescent="0.25">
      <c r="A404" t="str">
        <f t="shared" si="12"/>
        <v>13</v>
      </c>
      <c r="B404" t="str">
        <f>"13.0604"</f>
        <v>13.0604</v>
      </c>
      <c r="C404" t="s">
        <v>374</v>
      </c>
    </row>
    <row r="405" spans="1:3" x14ac:dyDescent="0.25">
      <c r="A405" t="str">
        <f t="shared" si="12"/>
        <v>13</v>
      </c>
      <c r="B405" t="str">
        <f>"13.0607"</f>
        <v>13.0607</v>
      </c>
      <c r="C405" t="s">
        <v>375</v>
      </c>
    </row>
    <row r="406" spans="1:3" x14ac:dyDescent="0.25">
      <c r="A406" t="str">
        <f t="shared" si="12"/>
        <v>13</v>
      </c>
      <c r="B406" t="str">
        <f>"13.0608"</f>
        <v>13.0608</v>
      </c>
      <c r="C406" t="s">
        <v>376</v>
      </c>
    </row>
    <row r="407" spans="1:3" x14ac:dyDescent="0.25">
      <c r="A407" t="str">
        <f t="shared" ref="A407:A438" si="13">"13"</f>
        <v>13</v>
      </c>
      <c r="B407" t="str">
        <f>"13.0699"</f>
        <v>13.0699</v>
      </c>
      <c r="C407" t="s">
        <v>377</v>
      </c>
    </row>
    <row r="408" spans="1:3" x14ac:dyDescent="0.25">
      <c r="A408" t="str">
        <f t="shared" si="13"/>
        <v>13</v>
      </c>
      <c r="B408" t="str">
        <f>"13.07"</f>
        <v>13.07</v>
      </c>
      <c r="C408" t="s">
        <v>378</v>
      </c>
    </row>
    <row r="409" spans="1:3" x14ac:dyDescent="0.25">
      <c r="A409" t="str">
        <f t="shared" si="13"/>
        <v>13</v>
      </c>
      <c r="B409" t="str">
        <f>"13.0701"</f>
        <v>13.0701</v>
      </c>
      <c r="C409" t="s">
        <v>378</v>
      </c>
    </row>
    <row r="410" spans="1:3" x14ac:dyDescent="0.25">
      <c r="A410" t="str">
        <f t="shared" si="13"/>
        <v>13</v>
      </c>
      <c r="B410" t="str">
        <f>"13.09"</f>
        <v>13.09</v>
      </c>
      <c r="C410" t="s">
        <v>379</v>
      </c>
    </row>
    <row r="411" spans="1:3" x14ac:dyDescent="0.25">
      <c r="A411" t="str">
        <f t="shared" si="13"/>
        <v>13</v>
      </c>
      <c r="B411" t="str">
        <f>"13.0901"</f>
        <v>13.0901</v>
      </c>
      <c r="C411" t="s">
        <v>379</v>
      </c>
    </row>
    <row r="412" spans="1:3" x14ac:dyDescent="0.25">
      <c r="A412" t="str">
        <f t="shared" si="13"/>
        <v>13</v>
      </c>
      <c r="B412" t="str">
        <f>"13.10"</f>
        <v>13.10</v>
      </c>
      <c r="C412" t="s">
        <v>380</v>
      </c>
    </row>
    <row r="413" spans="1:3" x14ac:dyDescent="0.25">
      <c r="A413" t="str">
        <f t="shared" si="13"/>
        <v>13</v>
      </c>
      <c r="B413" t="str">
        <f>"13.1001"</f>
        <v>13.1001</v>
      </c>
      <c r="C413" t="s">
        <v>381</v>
      </c>
    </row>
    <row r="414" spans="1:3" x14ac:dyDescent="0.25">
      <c r="A414" t="str">
        <f t="shared" si="13"/>
        <v>13</v>
      </c>
      <c r="B414" t="str">
        <f>"13.1003"</f>
        <v>13.1003</v>
      </c>
      <c r="C414" t="s">
        <v>382</v>
      </c>
    </row>
    <row r="415" spans="1:3" x14ac:dyDescent="0.25">
      <c r="A415" t="str">
        <f t="shared" si="13"/>
        <v>13</v>
      </c>
      <c r="B415" t="str">
        <f>"13.1004"</f>
        <v>13.1004</v>
      </c>
      <c r="C415" t="s">
        <v>383</v>
      </c>
    </row>
    <row r="416" spans="1:3" x14ac:dyDescent="0.25">
      <c r="A416" t="str">
        <f t="shared" si="13"/>
        <v>13</v>
      </c>
      <c r="B416" t="str">
        <f>"13.1005"</f>
        <v>13.1005</v>
      </c>
      <c r="C416" t="s">
        <v>384</v>
      </c>
    </row>
    <row r="417" spans="1:3" x14ac:dyDescent="0.25">
      <c r="A417" t="str">
        <f t="shared" si="13"/>
        <v>13</v>
      </c>
      <c r="B417" t="str">
        <f>"13.1006"</f>
        <v>13.1006</v>
      </c>
      <c r="C417" t="s">
        <v>385</v>
      </c>
    </row>
    <row r="418" spans="1:3" x14ac:dyDescent="0.25">
      <c r="A418" t="str">
        <f t="shared" si="13"/>
        <v>13</v>
      </c>
      <c r="B418" t="str">
        <f>"13.1007"</f>
        <v>13.1007</v>
      </c>
      <c r="C418" t="s">
        <v>386</v>
      </c>
    </row>
    <row r="419" spans="1:3" x14ac:dyDescent="0.25">
      <c r="A419" t="str">
        <f t="shared" si="13"/>
        <v>13</v>
      </c>
      <c r="B419" t="str">
        <f>"13.1008"</f>
        <v>13.1008</v>
      </c>
      <c r="C419" t="s">
        <v>387</v>
      </c>
    </row>
    <row r="420" spans="1:3" x14ac:dyDescent="0.25">
      <c r="A420" t="str">
        <f t="shared" si="13"/>
        <v>13</v>
      </c>
      <c r="B420" t="str">
        <f>"13.1009"</f>
        <v>13.1009</v>
      </c>
      <c r="C420" t="s">
        <v>388</v>
      </c>
    </row>
    <row r="421" spans="1:3" x14ac:dyDescent="0.25">
      <c r="A421" t="str">
        <f t="shared" si="13"/>
        <v>13</v>
      </c>
      <c r="B421" t="str">
        <f>"13.1011"</f>
        <v>13.1011</v>
      </c>
      <c r="C421" t="s">
        <v>389</v>
      </c>
    </row>
    <row r="422" spans="1:3" x14ac:dyDescent="0.25">
      <c r="A422" t="str">
        <f t="shared" si="13"/>
        <v>13</v>
      </c>
      <c r="B422" t="str">
        <f>"13.1012"</f>
        <v>13.1012</v>
      </c>
      <c r="C422" t="s">
        <v>390</v>
      </c>
    </row>
    <row r="423" spans="1:3" x14ac:dyDescent="0.25">
      <c r="A423" t="str">
        <f t="shared" si="13"/>
        <v>13</v>
      </c>
      <c r="B423" t="str">
        <f>"13.1013"</f>
        <v>13.1013</v>
      </c>
      <c r="C423" t="s">
        <v>391</v>
      </c>
    </row>
    <row r="424" spans="1:3" x14ac:dyDescent="0.25">
      <c r="A424" t="str">
        <f t="shared" si="13"/>
        <v>13</v>
      </c>
      <c r="B424" t="str">
        <f>"13.1014"</f>
        <v>13.1014</v>
      </c>
      <c r="C424" t="s">
        <v>392</v>
      </c>
    </row>
    <row r="425" spans="1:3" x14ac:dyDescent="0.25">
      <c r="A425" t="str">
        <f t="shared" si="13"/>
        <v>13</v>
      </c>
      <c r="B425" t="str">
        <f>"13.1015"</f>
        <v>13.1015</v>
      </c>
      <c r="C425" t="s">
        <v>393</v>
      </c>
    </row>
    <row r="426" spans="1:3" x14ac:dyDescent="0.25">
      <c r="A426" t="str">
        <f t="shared" si="13"/>
        <v>13</v>
      </c>
      <c r="B426" t="str">
        <f>"13.1016"</f>
        <v>13.1016</v>
      </c>
      <c r="C426" t="s">
        <v>394</v>
      </c>
    </row>
    <row r="427" spans="1:3" x14ac:dyDescent="0.25">
      <c r="A427" t="str">
        <f t="shared" si="13"/>
        <v>13</v>
      </c>
      <c r="B427" t="str">
        <f>"13.1017"</f>
        <v>13.1017</v>
      </c>
      <c r="C427" t="s">
        <v>395</v>
      </c>
    </row>
    <row r="428" spans="1:3" x14ac:dyDescent="0.25">
      <c r="A428" t="str">
        <f t="shared" si="13"/>
        <v>13</v>
      </c>
      <c r="B428" t="str">
        <f>"13.1018"</f>
        <v>13.1018</v>
      </c>
      <c r="C428" t="s">
        <v>396</v>
      </c>
    </row>
    <row r="429" spans="1:3" x14ac:dyDescent="0.25">
      <c r="A429" t="str">
        <f t="shared" si="13"/>
        <v>13</v>
      </c>
      <c r="B429" t="str">
        <f>"13.1019"</f>
        <v>13.1019</v>
      </c>
      <c r="C429" t="s">
        <v>397</v>
      </c>
    </row>
    <row r="430" spans="1:3" x14ac:dyDescent="0.25">
      <c r="A430" t="str">
        <f t="shared" si="13"/>
        <v>13</v>
      </c>
      <c r="B430" t="str">
        <f>"13.1099"</f>
        <v>13.1099</v>
      </c>
      <c r="C430" t="s">
        <v>398</v>
      </c>
    </row>
    <row r="431" spans="1:3" x14ac:dyDescent="0.25">
      <c r="A431" t="str">
        <f t="shared" si="13"/>
        <v>13</v>
      </c>
      <c r="B431" t="str">
        <f>"13.11"</f>
        <v>13.11</v>
      </c>
      <c r="C431" t="s">
        <v>399</v>
      </c>
    </row>
    <row r="432" spans="1:3" x14ac:dyDescent="0.25">
      <c r="A432" t="str">
        <f t="shared" si="13"/>
        <v>13</v>
      </c>
      <c r="B432" t="str">
        <f>"13.1101"</f>
        <v>13.1101</v>
      </c>
      <c r="C432" t="s">
        <v>400</v>
      </c>
    </row>
    <row r="433" spans="1:3" x14ac:dyDescent="0.25">
      <c r="A433" t="str">
        <f t="shared" si="13"/>
        <v>13</v>
      </c>
      <c r="B433" t="str">
        <f>"13.1102"</f>
        <v>13.1102</v>
      </c>
      <c r="C433" t="s">
        <v>401</v>
      </c>
    </row>
    <row r="434" spans="1:3" x14ac:dyDescent="0.25">
      <c r="A434" t="str">
        <f t="shared" si="13"/>
        <v>13</v>
      </c>
      <c r="B434" t="str">
        <f>"13.1199"</f>
        <v>13.1199</v>
      </c>
      <c r="C434" t="s">
        <v>402</v>
      </c>
    </row>
    <row r="435" spans="1:3" x14ac:dyDescent="0.25">
      <c r="A435" t="str">
        <f t="shared" si="13"/>
        <v>13</v>
      </c>
      <c r="B435" t="str">
        <f>"13.12"</f>
        <v>13.12</v>
      </c>
      <c r="C435" t="s">
        <v>403</v>
      </c>
    </row>
    <row r="436" spans="1:3" x14ac:dyDescent="0.25">
      <c r="A436" t="str">
        <f t="shared" si="13"/>
        <v>13</v>
      </c>
      <c r="B436" t="str">
        <f>"13.1201"</f>
        <v>13.1201</v>
      </c>
      <c r="C436" t="s">
        <v>404</v>
      </c>
    </row>
    <row r="437" spans="1:3" x14ac:dyDescent="0.25">
      <c r="A437" t="str">
        <f t="shared" si="13"/>
        <v>13</v>
      </c>
      <c r="B437" t="str">
        <f>"13.1202"</f>
        <v>13.1202</v>
      </c>
      <c r="C437" t="s">
        <v>405</v>
      </c>
    </row>
    <row r="438" spans="1:3" x14ac:dyDescent="0.25">
      <c r="A438" t="str">
        <f t="shared" si="13"/>
        <v>13</v>
      </c>
      <c r="B438" t="str">
        <f>"13.1203"</f>
        <v>13.1203</v>
      </c>
      <c r="C438" t="s">
        <v>406</v>
      </c>
    </row>
    <row r="439" spans="1:3" x14ac:dyDescent="0.25">
      <c r="A439" t="str">
        <f t="shared" ref="A439:A470" si="14">"13"</f>
        <v>13</v>
      </c>
      <c r="B439" t="str">
        <f>"13.1205"</f>
        <v>13.1205</v>
      </c>
      <c r="C439" t="s">
        <v>407</v>
      </c>
    </row>
    <row r="440" spans="1:3" x14ac:dyDescent="0.25">
      <c r="A440" t="str">
        <f t="shared" si="14"/>
        <v>13</v>
      </c>
      <c r="B440" t="str">
        <f>"13.1206"</f>
        <v>13.1206</v>
      </c>
      <c r="C440" t="s">
        <v>408</v>
      </c>
    </row>
    <row r="441" spans="1:3" x14ac:dyDescent="0.25">
      <c r="A441" t="str">
        <f t="shared" si="14"/>
        <v>13</v>
      </c>
      <c r="B441" t="str">
        <f>"13.1207"</f>
        <v>13.1207</v>
      </c>
      <c r="C441" t="s">
        <v>409</v>
      </c>
    </row>
    <row r="442" spans="1:3" x14ac:dyDescent="0.25">
      <c r="A442" t="str">
        <f t="shared" si="14"/>
        <v>13</v>
      </c>
      <c r="B442" t="str">
        <f>"13.1208"</f>
        <v>13.1208</v>
      </c>
      <c r="C442" t="s">
        <v>410</v>
      </c>
    </row>
    <row r="443" spans="1:3" x14ac:dyDescent="0.25">
      <c r="A443" t="str">
        <f t="shared" si="14"/>
        <v>13</v>
      </c>
      <c r="B443" t="str">
        <f>"13.1209"</f>
        <v>13.1209</v>
      </c>
      <c r="C443" t="s">
        <v>411</v>
      </c>
    </row>
    <row r="444" spans="1:3" x14ac:dyDescent="0.25">
      <c r="A444" t="str">
        <f t="shared" si="14"/>
        <v>13</v>
      </c>
      <c r="B444" t="str">
        <f>"13.1210"</f>
        <v>13.1210</v>
      </c>
      <c r="C444" t="s">
        <v>412</v>
      </c>
    </row>
    <row r="445" spans="1:3" x14ac:dyDescent="0.25">
      <c r="A445" t="str">
        <f t="shared" si="14"/>
        <v>13</v>
      </c>
      <c r="B445" t="str">
        <f>"13.1211"</f>
        <v>13.1211</v>
      </c>
      <c r="C445" t="s">
        <v>413</v>
      </c>
    </row>
    <row r="446" spans="1:3" x14ac:dyDescent="0.25">
      <c r="A446" t="str">
        <f t="shared" si="14"/>
        <v>13</v>
      </c>
      <c r="B446" t="str">
        <f>"13.1212"</f>
        <v>13.1212</v>
      </c>
      <c r="C446" t="s">
        <v>414</v>
      </c>
    </row>
    <row r="447" spans="1:3" x14ac:dyDescent="0.25">
      <c r="A447" t="str">
        <f t="shared" si="14"/>
        <v>13</v>
      </c>
      <c r="B447" t="str">
        <f>"13.1213"</f>
        <v>13.1213</v>
      </c>
      <c r="C447" t="s">
        <v>415</v>
      </c>
    </row>
    <row r="448" spans="1:3" x14ac:dyDescent="0.25">
      <c r="A448" t="str">
        <f t="shared" si="14"/>
        <v>13</v>
      </c>
      <c r="B448" t="str">
        <f>"13.1214"</f>
        <v>13.1214</v>
      </c>
      <c r="C448" t="s">
        <v>416</v>
      </c>
    </row>
    <row r="449" spans="1:3" x14ac:dyDescent="0.25">
      <c r="A449" t="str">
        <f t="shared" si="14"/>
        <v>13</v>
      </c>
      <c r="B449" t="str">
        <f>"13.1299"</f>
        <v>13.1299</v>
      </c>
      <c r="C449" t="s">
        <v>417</v>
      </c>
    </row>
    <row r="450" spans="1:3" x14ac:dyDescent="0.25">
      <c r="A450" t="str">
        <f t="shared" si="14"/>
        <v>13</v>
      </c>
      <c r="B450" t="str">
        <f>"13.13"</f>
        <v>13.13</v>
      </c>
      <c r="C450" t="s">
        <v>418</v>
      </c>
    </row>
    <row r="451" spans="1:3" x14ac:dyDescent="0.25">
      <c r="A451" t="str">
        <f t="shared" si="14"/>
        <v>13</v>
      </c>
      <c r="B451" t="str">
        <f>"13.1301"</f>
        <v>13.1301</v>
      </c>
      <c r="C451" t="s">
        <v>419</v>
      </c>
    </row>
    <row r="452" spans="1:3" x14ac:dyDescent="0.25">
      <c r="A452" t="str">
        <f t="shared" si="14"/>
        <v>13</v>
      </c>
      <c r="B452" t="str">
        <f>"13.1302"</f>
        <v>13.1302</v>
      </c>
      <c r="C452" t="s">
        <v>420</v>
      </c>
    </row>
    <row r="453" spans="1:3" x14ac:dyDescent="0.25">
      <c r="A453" t="str">
        <f t="shared" si="14"/>
        <v>13</v>
      </c>
      <c r="B453" t="str">
        <f>"13.1303"</f>
        <v>13.1303</v>
      </c>
      <c r="C453" t="s">
        <v>421</v>
      </c>
    </row>
    <row r="454" spans="1:3" x14ac:dyDescent="0.25">
      <c r="A454" t="str">
        <f t="shared" si="14"/>
        <v>13</v>
      </c>
      <c r="B454" t="str">
        <f>"13.1304"</f>
        <v>13.1304</v>
      </c>
      <c r="C454" t="s">
        <v>422</v>
      </c>
    </row>
    <row r="455" spans="1:3" x14ac:dyDescent="0.25">
      <c r="A455" t="str">
        <f t="shared" si="14"/>
        <v>13</v>
      </c>
      <c r="B455" t="str">
        <f>"13.1305"</f>
        <v>13.1305</v>
      </c>
      <c r="C455" t="s">
        <v>423</v>
      </c>
    </row>
    <row r="456" spans="1:3" x14ac:dyDescent="0.25">
      <c r="A456" t="str">
        <f t="shared" si="14"/>
        <v>13</v>
      </c>
      <c r="B456" t="str">
        <f>"13.1306"</f>
        <v>13.1306</v>
      </c>
      <c r="C456" t="s">
        <v>424</v>
      </c>
    </row>
    <row r="457" spans="1:3" x14ac:dyDescent="0.25">
      <c r="A457" t="str">
        <f t="shared" si="14"/>
        <v>13</v>
      </c>
      <c r="B457" t="str">
        <f>"13.1307"</f>
        <v>13.1307</v>
      </c>
      <c r="C457" t="s">
        <v>425</v>
      </c>
    </row>
    <row r="458" spans="1:3" x14ac:dyDescent="0.25">
      <c r="A458" t="str">
        <f t="shared" si="14"/>
        <v>13</v>
      </c>
      <c r="B458" t="str">
        <f>"13.1308"</f>
        <v>13.1308</v>
      </c>
      <c r="C458" t="s">
        <v>426</v>
      </c>
    </row>
    <row r="459" spans="1:3" x14ac:dyDescent="0.25">
      <c r="A459" t="str">
        <f t="shared" si="14"/>
        <v>13</v>
      </c>
      <c r="B459" t="str">
        <f>"13.1309"</f>
        <v>13.1309</v>
      </c>
      <c r="C459" t="s">
        <v>427</v>
      </c>
    </row>
    <row r="460" spans="1:3" x14ac:dyDescent="0.25">
      <c r="A460" t="str">
        <f t="shared" si="14"/>
        <v>13</v>
      </c>
      <c r="B460" t="str">
        <f>"13.1310"</f>
        <v>13.1310</v>
      </c>
      <c r="C460" t="s">
        <v>428</v>
      </c>
    </row>
    <row r="461" spans="1:3" x14ac:dyDescent="0.25">
      <c r="A461" t="str">
        <f t="shared" si="14"/>
        <v>13</v>
      </c>
      <c r="B461" t="str">
        <f>"13.1311"</f>
        <v>13.1311</v>
      </c>
      <c r="C461" t="s">
        <v>429</v>
      </c>
    </row>
    <row r="462" spans="1:3" x14ac:dyDescent="0.25">
      <c r="A462" t="str">
        <f t="shared" si="14"/>
        <v>13</v>
      </c>
      <c r="B462" t="str">
        <f>"13.1312"</f>
        <v>13.1312</v>
      </c>
      <c r="C462" t="s">
        <v>430</v>
      </c>
    </row>
    <row r="463" spans="1:3" x14ac:dyDescent="0.25">
      <c r="A463" t="str">
        <f t="shared" si="14"/>
        <v>13</v>
      </c>
      <c r="B463" t="str">
        <f>"13.1314"</f>
        <v>13.1314</v>
      </c>
      <c r="C463" t="s">
        <v>431</v>
      </c>
    </row>
    <row r="464" spans="1:3" x14ac:dyDescent="0.25">
      <c r="A464" t="str">
        <f t="shared" si="14"/>
        <v>13</v>
      </c>
      <c r="B464" t="str">
        <f>"13.1315"</f>
        <v>13.1315</v>
      </c>
      <c r="C464" t="s">
        <v>432</v>
      </c>
    </row>
    <row r="465" spans="1:3" x14ac:dyDescent="0.25">
      <c r="A465" t="str">
        <f t="shared" si="14"/>
        <v>13</v>
      </c>
      <c r="B465" t="str">
        <f>"13.1316"</f>
        <v>13.1316</v>
      </c>
      <c r="C465" t="s">
        <v>433</v>
      </c>
    </row>
    <row r="466" spans="1:3" x14ac:dyDescent="0.25">
      <c r="A466" t="str">
        <f t="shared" si="14"/>
        <v>13</v>
      </c>
      <c r="B466" t="str">
        <f>"13.1317"</f>
        <v>13.1317</v>
      </c>
      <c r="C466" t="s">
        <v>434</v>
      </c>
    </row>
    <row r="467" spans="1:3" x14ac:dyDescent="0.25">
      <c r="A467" t="str">
        <f t="shared" si="14"/>
        <v>13</v>
      </c>
      <c r="B467" t="str">
        <f>"13.1318"</f>
        <v>13.1318</v>
      </c>
      <c r="C467" t="s">
        <v>435</v>
      </c>
    </row>
    <row r="468" spans="1:3" x14ac:dyDescent="0.25">
      <c r="A468" t="str">
        <f t="shared" si="14"/>
        <v>13</v>
      </c>
      <c r="B468" t="str">
        <f>"13.1319"</f>
        <v>13.1319</v>
      </c>
      <c r="C468" t="s">
        <v>436</v>
      </c>
    </row>
    <row r="469" spans="1:3" x14ac:dyDescent="0.25">
      <c r="A469" t="str">
        <f t="shared" si="14"/>
        <v>13</v>
      </c>
      <c r="B469" t="str">
        <f>"13.1320"</f>
        <v>13.1320</v>
      </c>
      <c r="C469" t="s">
        <v>437</v>
      </c>
    </row>
    <row r="470" spans="1:3" x14ac:dyDescent="0.25">
      <c r="A470" t="str">
        <f t="shared" si="14"/>
        <v>13</v>
      </c>
      <c r="B470" t="str">
        <f>"13.1321"</f>
        <v>13.1321</v>
      </c>
      <c r="C470" t="s">
        <v>438</v>
      </c>
    </row>
    <row r="471" spans="1:3" x14ac:dyDescent="0.25">
      <c r="A471" t="str">
        <f t="shared" ref="A471:A498" si="15">"13"</f>
        <v>13</v>
      </c>
      <c r="B471" t="str">
        <f>"13.1322"</f>
        <v>13.1322</v>
      </c>
      <c r="C471" t="s">
        <v>439</v>
      </c>
    </row>
    <row r="472" spans="1:3" x14ac:dyDescent="0.25">
      <c r="A472" t="str">
        <f t="shared" si="15"/>
        <v>13</v>
      </c>
      <c r="B472" t="str">
        <f>"13.1323"</f>
        <v>13.1323</v>
      </c>
      <c r="C472" t="s">
        <v>440</v>
      </c>
    </row>
    <row r="473" spans="1:3" x14ac:dyDescent="0.25">
      <c r="A473" t="str">
        <f t="shared" si="15"/>
        <v>13</v>
      </c>
      <c r="B473" t="str">
        <f>"13.1324"</f>
        <v>13.1324</v>
      </c>
      <c r="C473" t="s">
        <v>441</v>
      </c>
    </row>
    <row r="474" spans="1:3" x14ac:dyDescent="0.25">
      <c r="A474" t="str">
        <f t="shared" si="15"/>
        <v>13</v>
      </c>
      <c r="B474" t="str">
        <f>"13.1325"</f>
        <v>13.1325</v>
      </c>
      <c r="C474" t="s">
        <v>442</v>
      </c>
    </row>
    <row r="475" spans="1:3" x14ac:dyDescent="0.25">
      <c r="A475" t="str">
        <f t="shared" si="15"/>
        <v>13</v>
      </c>
      <c r="B475" t="str">
        <f>"13.1326"</f>
        <v>13.1326</v>
      </c>
      <c r="C475" t="s">
        <v>443</v>
      </c>
    </row>
    <row r="476" spans="1:3" x14ac:dyDescent="0.25">
      <c r="A476" t="str">
        <f t="shared" si="15"/>
        <v>13</v>
      </c>
      <c r="B476" t="str">
        <f>"13.1327"</f>
        <v>13.1327</v>
      </c>
      <c r="C476" t="s">
        <v>444</v>
      </c>
    </row>
    <row r="477" spans="1:3" x14ac:dyDescent="0.25">
      <c r="A477" t="str">
        <f t="shared" si="15"/>
        <v>13</v>
      </c>
      <c r="B477" t="str">
        <f>"13.1328"</f>
        <v>13.1328</v>
      </c>
      <c r="C477" t="s">
        <v>445</v>
      </c>
    </row>
    <row r="478" spans="1:3" x14ac:dyDescent="0.25">
      <c r="A478" t="str">
        <f t="shared" si="15"/>
        <v>13</v>
      </c>
      <c r="B478" t="str">
        <f>"13.1329"</f>
        <v>13.1329</v>
      </c>
      <c r="C478" t="s">
        <v>446</v>
      </c>
    </row>
    <row r="479" spans="1:3" x14ac:dyDescent="0.25">
      <c r="A479" t="str">
        <f t="shared" si="15"/>
        <v>13</v>
      </c>
      <c r="B479" t="str">
        <f>"13.1330"</f>
        <v>13.1330</v>
      </c>
      <c r="C479" t="s">
        <v>447</v>
      </c>
    </row>
    <row r="480" spans="1:3" x14ac:dyDescent="0.25">
      <c r="A480" t="str">
        <f t="shared" si="15"/>
        <v>13</v>
      </c>
      <c r="B480" t="str">
        <f>"13.1331"</f>
        <v>13.1331</v>
      </c>
      <c r="C480" t="s">
        <v>448</v>
      </c>
    </row>
    <row r="481" spans="1:3" x14ac:dyDescent="0.25">
      <c r="A481" t="str">
        <f t="shared" si="15"/>
        <v>13</v>
      </c>
      <c r="B481" t="str">
        <f>"13.1332"</f>
        <v>13.1332</v>
      </c>
      <c r="C481" t="s">
        <v>449</v>
      </c>
    </row>
    <row r="482" spans="1:3" x14ac:dyDescent="0.25">
      <c r="A482" t="str">
        <f t="shared" si="15"/>
        <v>13</v>
      </c>
      <c r="B482" t="str">
        <f>"13.1333"</f>
        <v>13.1333</v>
      </c>
      <c r="C482" t="s">
        <v>450</v>
      </c>
    </row>
    <row r="483" spans="1:3" x14ac:dyDescent="0.25">
      <c r="A483" t="str">
        <f t="shared" si="15"/>
        <v>13</v>
      </c>
      <c r="B483" t="str">
        <f>"13.1334"</f>
        <v>13.1334</v>
      </c>
      <c r="C483" t="s">
        <v>451</v>
      </c>
    </row>
    <row r="484" spans="1:3" x14ac:dyDescent="0.25">
      <c r="A484" t="str">
        <f t="shared" si="15"/>
        <v>13</v>
      </c>
      <c r="B484" t="str">
        <f>"13.1335"</f>
        <v>13.1335</v>
      </c>
      <c r="C484" t="s">
        <v>452</v>
      </c>
    </row>
    <row r="485" spans="1:3" x14ac:dyDescent="0.25">
      <c r="A485" t="str">
        <f t="shared" si="15"/>
        <v>13</v>
      </c>
      <c r="B485" t="str">
        <f>"13.1337"</f>
        <v>13.1337</v>
      </c>
      <c r="C485" t="s">
        <v>453</v>
      </c>
    </row>
    <row r="486" spans="1:3" x14ac:dyDescent="0.25">
      <c r="A486" t="str">
        <f t="shared" si="15"/>
        <v>13</v>
      </c>
      <c r="B486" t="str">
        <f>"13.1338"</f>
        <v>13.1338</v>
      </c>
      <c r="C486" t="s">
        <v>454</v>
      </c>
    </row>
    <row r="487" spans="1:3" x14ac:dyDescent="0.25">
      <c r="A487" t="str">
        <f t="shared" si="15"/>
        <v>13</v>
      </c>
      <c r="B487" t="str">
        <f>"13.1339"</f>
        <v>13.1339</v>
      </c>
      <c r="C487" t="s">
        <v>455</v>
      </c>
    </row>
    <row r="488" spans="1:3" x14ac:dyDescent="0.25">
      <c r="A488" t="str">
        <f t="shared" si="15"/>
        <v>13</v>
      </c>
      <c r="B488" t="str">
        <f>"13.1399"</f>
        <v>13.1399</v>
      </c>
      <c r="C488" t="s">
        <v>456</v>
      </c>
    </row>
    <row r="489" spans="1:3" x14ac:dyDescent="0.25">
      <c r="A489" t="str">
        <f t="shared" si="15"/>
        <v>13</v>
      </c>
      <c r="B489" t="str">
        <f>"13.14"</f>
        <v>13.14</v>
      </c>
      <c r="C489" t="s">
        <v>457</v>
      </c>
    </row>
    <row r="490" spans="1:3" x14ac:dyDescent="0.25">
      <c r="A490" t="str">
        <f t="shared" si="15"/>
        <v>13</v>
      </c>
      <c r="B490" t="str">
        <f>"13.1401"</f>
        <v>13.1401</v>
      </c>
      <c r="C490" t="s">
        <v>458</v>
      </c>
    </row>
    <row r="491" spans="1:3" x14ac:dyDescent="0.25">
      <c r="A491" t="str">
        <f t="shared" si="15"/>
        <v>13</v>
      </c>
      <c r="B491" t="str">
        <f>"13.1402"</f>
        <v>13.1402</v>
      </c>
      <c r="C491" t="s">
        <v>459</v>
      </c>
    </row>
    <row r="492" spans="1:3" x14ac:dyDescent="0.25">
      <c r="A492" t="str">
        <f t="shared" si="15"/>
        <v>13</v>
      </c>
      <c r="B492" t="str">
        <f>"13.1499"</f>
        <v>13.1499</v>
      </c>
      <c r="C492" t="s">
        <v>460</v>
      </c>
    </row>
    <row r="493" spans="1:3" x14ac:dyDescent="0.25">
      <c r="A493" t="str">
        <f t="shared" si="15"/>
        <v>13</v>
      </c>
      <c r="B493" t="str">
        <f>"13.15"</f>
        <v>13.15</v>
      </c>
      <c r="C493" t="s">
        <v>461</v>
      </c>
    </row>
    <row r="494" spans="1:3" x14ac:dyDescent="0.25">
      <c r="A494" t="str">
        <f t="shared" si="15"/>
        <v>13</v>
      </c>
      <c r="B494" t="str">
        <f>"13.1501"</f>
        <v>13.1501</v>
      </c>
      <c r="C494" t="s">
        <v>462</v>
      </c>
    </row>
    <row r="495" spans="1:3" x14ac:dyDescent="0.25">
      <c r="A495" t="str">
        <f t="shared" si="15"/>
        <v>13</v>
      </c>
      <c r="B495" t="str">
        <f>"13.1502"</f>
        <v>13.1502</v>
      </c>
      <c r="C495" t="s">
        <v>463</v>
      </c>
    </row>
    <row r="496" spans="1:3" x14ac:dyDescent="0.25">
      <c r="A496" t="str">
        <f t="shared" si="15"/>
        <v>13</v>
      </c>
      <c r="B496" t="str">
        <f>"13.1599"</f>
        <v>13.1599</v>
      </c>
      <c r="C496" t="s">
        <v>464</v>
      </c>
    </row>
    <row r="497" spans="1:3" x14ac:dyDescent="0.25">
      <c r="A497" t="str">
        <f t="shared" si="15"/>
        <v>13</v>
      </c>
      <c r="B497" t="str">
        <f>"13.99"</f>
        <v>13.99</v>
      </c>
      <c r="C497" t="s">
        <v>465</v>
      </c>
    </row>
    <row r="498" spans="1:3" x14ac:dyDescent="0.25">
      <c r="A498" t="str">
        <f t="shared" si="15"/>
        <v>13</v>
      </c>
      <c r="B498" t="str">
        <f>"13.9999"</f>
        <v>13.9999</v>
      </c>
      <c r="C498" t="s">
        <v>465</v>
      </c>
    </row>
    <row r="499" spans="1:3" x14ac:dyDescent="0.25">
      <c r="A499" t="str">
        <f>"14"</f>
        <v>14</v>
      </c>
      <c r="B499" t="str">
        <f>"14"</f>
        <v>14</v>
      </c>
      <c r="C499" t="s">
        <v>466</v>
      </c>
    </row>
    <row r="500" spans="1:3" x14ac:dyDescent="0.25">
      <c r="A500" t="str">
        <f t="shared" ref="A500:A531" si="16">"14"</f>
        <v>14</v>
      </c>
      <c r="B500" t="str">
        <f>"14.01"</f>
        <v>14.01</v>
      </c>
      <c r="C500" t="s">
        <v>467</v>
      </c>
    </row>
    <row r="501" spans="1:3" x14ac:dyDescent="0.25">
      <c r="A501" t="str">
        <f t="shared" si="16"/>
        <v>14</v>
      </c>
      <c r="B501" t="str">
        <f>"14.0101"</f>
        <v>14.0101</v>
      </c>
      <c r="C501" t="s">
        <v>467</v>
      </c>
    </row>
    <row r="502" spans="1:3" x14ac:dyDescent="0.25">
      <c r="A502" t="str">
        <f t="shared" si="16"/>
        <v>14</v>
      </c>
      <c r="B502" t="str">
        <f>"14.0102"</f>
        <v>14.0102</v>
      </c>
      <c r="C502" t="s">
        <v>468</v>
      </c>
    </row>
    <row r="503" spans="1:3" x14ac:dyDescent="0.25">
      <c r="A503" t="str">
        <f t="shared" si="16"/>
        <v>14</v>
      </c>
      <c r="B503" t="str">
        <f>"14.0103"</f>
        <v>14.0103</v>
      </c>
      <c r="C503" t="s">
        <v>469</v>
      </c>
    </row>
    <row r="504" spans="1:3" x14ac:dyDescent="0.25">
      <c r="A504" t="str">
        <f t="shared" si="16"/>
        <v>14</v>
      </c>
      <c r="B504" t="str">
        <f>"14.02"</f>
        <v>14.02</v>
      </c>
      <c r="C504" t="s">
        <v>470</v>
      </c>
    </row>
    <row r="505" spans="1:3" x14ac:dyDescent="0.25">
      <c r="A505" t="str">
        <f t="shared" si="16"/>
        <v>14</v>
      </c>
      <c r="B505" t="str">
        <f>"14.0201"</f>
        <v>14.0201</v>
      </c>
      <c r="C505" t="s">
        <v>471</v>
      </c>
    </row>
    <row r="506" spans="1:3" x14ac:dyDescent="0.25">
      <c r="A506" t="str">
        <f t="shared" si="16"/>
        <v>14</v>
      </c>
      <c r="B506" t="str">
        <f>"14.0202"</f>
        <v>14.0202</v>
      </c>
      <c r="C506" t="s">
        <v>472</v>
      </c>
    </row>
    <row r="507" spans="1:3" x14ac:dyDescent="0.25">
      <c r="A507" t="str">
        <f t="shared" si="16"/>
        <v>14</v>
      </c>
      <c r="B507" t="str">
        <f>"14.0299"</f>
        <v>14.0299</v>
      </c>
      <c r="C507" t="s">
        <v>473</v>
      </c>
    </row>
    <row r="508" spans="1:3" x14ac:dyDescent="0.25">
      <c r="A508" t="str">
        <f t="shared" si="16"/>
        <v>14</v>
      </c>
      <c r="B508" t="str">
        <f>"14.03"</f>
        <v>14.03</v>
      </c>
      <c r="C508" t="s">
        <v>474</v>
      </c>
    </row>
    <row r="509" spans="1:3" x14ac:dyDescent="0.25">
      <c r="A509" t="str">
        <f t="shared" si="16"/>
        <v>14</v>
      </c>
      <c r="B509" t="str">
        <f>"14.0301"</f>
        <v>14.0301</v>
      </c>
      <c r="C509" t="s">
        <v>474</v>
      </c>
    </row>
    <row r="510" spans="1:3" x14ac:dyDescent="0.25">
      <c r="A510" t="str">
        <f t="shared" si="16"/>
        <v>14</v>
      </c>
      <c r="B510" t="str">
        <f>"14.04"</f>
        <v>14.04</v>
      </c>
      <c r="C510" t="s">
        <v>475</v>
      </c>
    </row>
    <row r="511" spans="1:3" x14ac:dyDescent="0.25">
      <c r="A511" t="str">
        <f t="shared" si="16"/>
        <v>14</v>
      </c>
      <c r="B511" t="str">
        <f>"14.0401"</f>
        <v>14.0401</v>
      </c>
      <c r="C511" t="s">
        <v>475</v>
      </c>
    </row>
    <row r="512" spans="1:3" x14ac:dyDescent="0.25">
      <c r="A512" t="str">
        <f t="shared" si="16"/>
        <v>14</v>
      </c>
      <c r="B512" t="str">
        <f>"14.05"</f>
        <v>14.05</v>
      </c>
      <c r="C512" t="s">
        <v>476</v>
      </c>
    </row>
    <row r="513" spans="1:3" x14ac:dyDescent="0.25">
      <c r="A513" t="str">
        <f t="shared" si="16"/>
        <v>14</v>
      </c>
      <c r="B513" t="str">
        <f>"14.0501"</f>
        <v>14.0501</v>
      </c>
      <c r="C513" t="s">
        <v>477</v>
      </c>
    </row>
    <row r="514" spans="1:3" x14ac:dyDescent="0.25">
      <c r="A514" t="str">
        <f t="shared" si="16"/>
        <v>14</v>
      </c>
      <c r="B514" t="str">
        <f>"14.06"</f>
        <v>14.06</v>
      </c>
      <c r="C514" t="s">
        <v>478</v>
      </c>
    </row>
    <row r="515" spans="1:3" x14ac:dyDescent="0.25">
      <c r="A515" t="str">
        <f t="shared" si="16"/>
        <v>14</v>
      </c>
      <c r="B515" t="str">
        <f>"14.0601"</f>
        <v>14.0601</v>
      </c>
      <c r="C515" t="s">
        <v>478</v>
      </c>
    </row>
    <row r="516" spans="1:3" x14ac:dyDescent="0.25">
      <c r="A516" t="str">
        <f t="shared" si="16"/>
        <v>14</v>
      </c>
      <c r="B516" t="str">
        <f>"14.07"</f>
        <v>14.07</v>
      </c>
      <c r="C516" t="s">
        <v>479</v>
      </c>
    </row>
    <row r="517" spans="1:3" x14ac:dyDescent="0.25">
      <c r="A517" t="str">
        <f t="shared" si="16"/>
        <v>14</v>
      </c>
      <c r="B517" t="str">
        <f>"14.0701"</f>
        <v>14.0701</v>
      </c>
      <c r="C517" t="s">
        <v>479</v>
      </c>
    </row>
    <row r="518" spans="1:3" x14ac:dyDescent="0.25">
      <c r="A518" t="str">
        <f t="shared" si="16"/>
        <v>14</v>
      </c>
      <c r="B518" t="str">
        <f>"14.0702"</f>
        <v>14.0702</v>
      </c>
      <c r="C518" t="s">
        <v>480</v>
      </c>
    </row>
    <row r="519" spans="1:3" x14ac:dyDescent="0.25">
      <c r="A519" t="str">
        <f t="shared" si="16"/>
        <v>14</v>
      </c>
      <c r="B519" t="str">
        <f>"14.0799"</f>
        <v>14.0799</v>
      </c>
      <c r="C519" t="s">
        <v>481</v>
      </c>
    </row>
    <row r="520" spans="1:3" x14ac:dyDescent="0.25">
      <c r="A520" t="str">
        <f t="shared" si="16"/>
        <v>14</v>
      </c>
      <c r="B520" t="str">
        <f>"14.08"</f>
        <v>14.08</v>
      </c>
      <c r="C520" t="s">
        <v>482</v>
      </c>
    </row>
    <row r="521" spans="1:3" x14ac:dyDescent="0.25">
      <c r="A521" t="str">
        <f t="shared" si="16"/>
        <v>14</v>
      </c>
      <c r="B521" t="str">
        <f>"14.0801"</f>
        <v>14.0801</v>
      </c>
      <c r="C521" t="s">
        <v>483</v>
      </c>
    </row>
    <row r="522" spans="1:3" x14ac:dyDescent="0.25">
      <c r="A522" t="str">
        <f t="shared" si="16"/>
        <v>14</v>
      </c>
      <c r="B522" t="str">
        <f>"14.0802"</f>
        <v>14.0802</v>
      </c>
      <c r="C522" t="s">
        <v>484</v>
      </c>
    </row>
    <row r="523" spans="1:3" x14ac:dyDescent="0.25">
      <c r="A523" t="str">
        <f t="shared" si="16"/>
        <v>14</v>
      </c>
      <c r="B523" t="str">
        <f>"14.0803"</f>
        <v>14.0803</v>
      </c>
      <c r="C523" t="s">
        <v>485</v>
      </c>
    </row>
    <row r="524" spans="1:3" x14ac:dyDescent="0.25">
      <c r="A524" t="str">
        <f t="shared" si="16"/>
        <v>14</v>
      </c>
      <c r="B524" t="str">
        <f>"14.0804"</f>
        <v>14.0804</v>
      </c>
      <c r="C524" t="s">
        <v>486</v>
      </c>
    </row>
    <row r="525" spans="1:3" x14ac:dyDescent="0.25">
      <c r="A525" t="str">
        <f t="shared" si="16"/>
        <v>14</v>
      </c>
      <c r="B525" t="str">
        <f>"14.0805"</f>
        <v>14.0805</v>
      </c>
      <c r="C525" t="s">
        <v>487</v>
      </c>
    </row>
    <row r="526" spans="1:3" x14ac:dyDescent="0.25">
      <c r="A526" t="str">
        <f t="shared" si="16"/>
        <v>14</v>
      </c>
      <c r="B526" t="str">
        <f>"14.0899"</f>
        <v>14.0899</v>
      </c>
      <c r="C526" t="s">
        <v>488</v>
      </c>
    </row>
    <row r="527" spans="1:3" x14ac:dyDescent="0.25">
      <c r="A527" t="str">
        <f t="shared" si="16"/>
        <v>14</v>
      </c>
      <c r="B527" t="str">
        <f>"14.09"</f>
        <v>14.09</v>
      </c>
      <c r="C527" t="s">
        <v>489</v>
      </c>
    </row>
    <row r="528" spans="1:3" x14ac:dyDescent="0.25">
      <c r="A528" t="str">
        <f t="shared" si="16"/>
        <v>14</v>
      </c>
      <c r="B528" t="str">
        <f>"14.0901"</f>
        <v>14.0901</v>
      </c>
      <c r="C528" t="s">
        <v>490</v>
      </c>
    </row>
    <row r="529" spans="1:3" x14ac:dyDescent="0.25">
      <c r="A529" t="str">
        <f t="shared" si="16"/>
        <v>14</v>
      </c>
      <c r="B529" t="str">
        <f>"14.0902"</f>
        <v>14.0902</v>
      </c>
      <c r="C529" t="s">
        <v>491</v>
      </c>
    </row>
    <row r="530" spans="1:3" x14ac:dyDescent="0.25">
      <c r="A530" t="str">
        <f t="shared" si="16"/>
        <v>14</v>
      </c>
      <c r="B530" t="str">
        <f>"14.0903"</f>
        <v>14.0903</v>
      </c>
      <c r="C530" t="s">
        <v>492</v>
      </c>
    </row>
    <row r="531" spans="1:3" x14ac:dyDescent="0.25">
      <c r="A531" t="str">
        <f t="shared" si="16"/>
        <v>14</v>
      </c>
      <c r="B531" t="str">
        <f>"14.0999"</f>
        <v>14.0999</v>
      </c>
      <c r="C531" t="s">
        <v>493</v>
      </c>
    </row>
    <row r="532" spans="1:3" x14ac:dyDescent="0.25">
      <c r="A532" t="str">
        <f t="shared" ref="A532:A563" si="17">"14"</f>
        <v>14</v>
      </c>
      <c r="B532" t="str">
        <f>"14.10"</f>
        <v>14.10</v>
      </c>
      <c r="C532" t="s">
        <v>494</v>
      </c>
    </row>
    <row r="533" spans="1:3" x14ac:dyDescent="0.25">
      <c r="A533" t="str">
        <f t="shared" si="17"/>
        <v>14</v>
      </c>
      <c r="B533" t="str">
        <f>"14.1001"</f>
        <v>14.1001</v>
      </c>
      <c r="C533" t="s">
        <v>495</v>
      </c>
    </row>
    <row r="534" spans="1:3" x14ac:dyDescent="0.25">
      <c r="A534" t="str">
        <f t="shared" si="17"/>
        <v>14</v>
      </c>
      <c r="B534" t="str">
        <f>"14.1003"</f>
        <v>14.1003</v>
      </c>
      <c r="C534" t="s">
        <v>496</v>
      </c>
    </row>
    <row r="535" spans="1:3" x14ac:dyDescent="0.25">
      <c r="A535" t="str">
        <f t="shared" si="17"/>
        <v>14</v>
      </c>
      <c r="B535" t="str">
        <f>"14.1004"</f>
        <v>14.1004</v>
      </c>
      <c r="C535" t="s">
        <v>497</v>
      </c>
    </row>
    <row r="536" spans="1:3" x14ac:dyDescent="0.25">
      <c r="A536" t="str">
        <f t="shared" si="17"/>
        <v>14</v>
      </c>
      <c r="B536" t="str">
        <f>"14.1099"</f>
        <v>14.1099</v>
      </c>
      <c r="C536" t="s">
        <v>498</v>
      </c>
    </row>
    <row r="537" spans="1:3" x14ac:dyDescent="0.25">
      <c r="A537" t="str">
        <f t="shared" si="17"/>
        <v>14</v>
      </c>
      <c r="B537" t="str">
        <f>"14.11"</f>
        <v>14.11</v>
      </c>
      <c r="C537" t="s">
        <v>499</v>
      </c>
    </row>
    <row r="538" spans="1:3" x14ac:dyDescent="0.25">
      <c r="A538" t="str">
        <f t="shared" si="17"/>
        <v>14</v>
      </c>
      <c r="B538" t="str">
        <f>"14.1101"</f>
        <v>14.1101</v>
      </c>
      <c r="C538" t="s">
        <v>499</v>
      </c>
    </row>
    <row r="539" spans="1:3" x14ac:dyDescent="0.25">
      <c r="A539" t="str">
        <f t="shared" si="17"/>
        <v>14</v>
      </c>
      <c r="B539" t="str">
        <f>"14.12"</f>
        <v>14.12</v>
      </c>
      <c r="C539" t="s">
        <v>500</v>
      </c>
    </row>
    <row r="540" spans="1:3" x14ac:dyDescent="0.25">
      <c r="A540" t="str">
        <f t="shared" si="17"/>
        <v>14</v>
      </c>
      <c r="B540" t="str">
        <f>"14.1201"</f>
        <v>14.1201</v>
      </c>
      <c r="C540" t="s">
        <v>501</v>
      </c>
    </row>
    <row r="541" spans="1:3" x14ac:dyDescent="0.25">
      <c r="A541" t="str">
        <f t="shared" si="17"/>
        <v>14</v>
      </c>
      <c r="B541" t="str">
        <f>"14.13"</f>
        <v>14.13</v>
      </c>
      <c r="C541" t="s">
        <v>502</v>
      </c>
    </row>
    <row r="542" spans="1:3" x14ac:dyDescent="0.25">
      <c r="A542" t="str">
        <f t="shared" si="17"/>
        <v>14</v>
      </c>
      <c r="B542" t="str">
        <f>"14.1301"</f>
        <v>14.1301</v>
      </c>
      <c r="C542" t="s">
        <v>502</v>
      </c>
    </row>
    <row r="543" spans="1:3" x14ac:dyDescent="0.25">
      <c r="A543" t="str">
        <f t="shared" si="17"/>
        <v>14</v>
      </c>
      <c r="B543" t="str">
        <f>"14.14"</f>
        <v>14.14</v>
      </c>
      <c r="C543" t="s">
        <v>503</v>
      </c>
    </row>
    <row r="544" spans="1:3" x14ac:dyDescent="0.25">
      <c r="A544" t="str">
        <f t="shared" si="17"/>
        <v>14</v>
      </c>
      <c r="B544" t="str">
        <f>"14.1401"</f>
        <v>14.1401</v>
      </c>
      <c r="C544" t="s">
        <v>503</v>
      </c>
    </row>
    <row r="545" spans="1:3" x14ac:dyDescent="0.25">
      <c r="A545" t="str">
        <f t="shared" si="17"/>
        <v>14</v>
      </c>
      <c r="B545" t="str">
        <f>"14.18"</f>
        <v>14.18</v>
      </c>
      <c r="C545" t="s">
        <v>504</v>
      </c>
    </row>
    <row r="546" spans="1:3" x14ac:dyDescent="0.25">
      <c r="A546" t="str">
        <f t="shared" si="17"/>
        <v>14</v>
      </c>
      <c r="B546" t="str">
        <f>"14.1801"</f>
        <v>14.1801</v>
      </c>
      <c r="C546" t="s">
        <v>504</v>
      </c>
    </row>
    <row r="547" spans="1:3" x14ac:dyDescent="0.25">
      <c r="A547" t="str">
        <f t="shared" si="17"/>
        <v>14</v>
      </c>
      <c r="B547" t="str">
        <f>"14.19"</f>
        <v>14.19</v>
      </c>
      <c r="C547" t="s">
        <v>505</v>
      </c>
    </row>
    <row r="548" spans="1:3" x14ac:dyDescent="0.25">
      <c r="A548" t="str">
        <f t="shared" si="17"/>
        <v>14</v>
      </c>
      <c r="B548" t="str">
        <f>"14.1901"</f>
        <v>14.1901</v>
      </c>
      <c r="C548" t="s">
        <v>505</v>
      </c>
    </row>
    <row r="549" spans="1:3" x14ac:dyDescent="0.25">
      <c r="A549" t="str">
        <f t="shared" si="17"/>
        <v>14</v>
      </c>
      <c r="B549" t="str">
        <f>"14.20"</f>
        <v>14.20</v>
      </c>
      <c r="C549" t="s">
        <v>506</v>
      </c>
    </row>
    <row r="550" spans="1:3" x14ac:dyDescent="0.25">
      <c r="A550" t="str">
        <f t="shared" si="17"/>
        <v>14</v>
      </c>
      <c r="B550" t="str">
        <f>"14.2001"</f>
        <v>14.2001</v>
      </c>
      <c r="C550" t="s">
        <v>506</v>
      </c>
    </row>
    <row r="551" spans="1:3" x14ac:dyDescent="0.25">
      <c r="A551" t="str">
        <f t="shared" si="17"/>
        <v>14</v>
      </c>
      <c r="B551" t="str">
        <f>"14.21"</f>
        <v>14.21</v>
      </c>
      <c r="C551" t="s">
        <v>507</v>
      </c>
    </row>
    <row r="552" spans="1:3" x14ac:dyDescent="0.25">
      <c r="A552" t="str">
        <f t="shared" si="17"/>
        <v>14</v>
      </c>
      <c r="B552" t="str">
        <f>"14.2101"</f>
        <v>14.2101</v>
      </c>
      <c r="C552" t="s">
        <v>507</v>
      </c>
    </row>
    <row r="553" spans="1:3" x14ac:dyDescent="0.25">
      <c r="A553" t="str">
        <f t="shared" si="17"/>
        <v>14</v>
      </c>
      <c r="B553" t="str">
        <f>"14.22"</f>
        <v>14.22</v>
      </c>
      <c r="C553" t="s">
        <v>508</v>
      </c>
    </row>
    <row r="554" spans="1:3" x14ac:dyDescent="0.25">
      <c r="A554" t="str">
        <f t="shared" si="17"/>
        <v>14</v>
      </c>
      <c r="B554" t="str">
        <f>"14.2201"</f>
        <v>14.2201</v>
      </c>
      <c r="C554" t="s">
        <v>508</v>
      </c>
    </row>
    <row r="555" spans="1:3" x14ac:dyDescent="0.25">
      <c r="A555" t="str">
        <f t="shared" si="17"/>
        <v>14</v>
      </c>
      <c r="B555" t="str">
        <f>"14.23"</f>
        <v>14.23</v>
      </c>
      <c r="C555" t="s">
        <v>509</v>
      </c>
    </row>
    <row r="556" spans="1:3" x14ac:dyDescent="0.25">
      <c r="A556" t="str">
        <f t="shared" si="17"/>
        <v>14</v>
      </c>
      <c r="B556" t="str">
        <f>"14.2301"</f>
        <v>14.2301</v>
      </c>
      <c r="C556" t="s">
        <v>509</v>
      </c>
    </row>
    <row r="557" spans="1:3" x14ac:dyDescent="0.25">
      <c r="A557" t="str">
        <f t="shared" si="17"/>
        <v>14</v>
      </c>
      <c r="B557" t="str">
        <f>"14.24"</f>
        <v>14.24</v>
      </c>
      <c r="C557" t="s">
        <v>510</v>
      </c>
    </row>
    <row r="558" spans="1:3" x14ac:dyDescent="0.25">
      <c r="A558" t="str">
        <f t="shared" si="17"/>
        <v>14</v>
      </c>
      <c r="B558" t="str">
        <f>"14.2401"</f>
        <v>14.2401</v>
      </c>
      <c r="C558" t="s">
        <v>510</v>
      </c>
    </row>
    <row r="559" spans="1:3" x14ac:dyDescent="0.25">
      <c r="A559" t="str">
        <f t="shared" si="17"/>
        <v>14</v>
      </c>
      <c r="B559" t="str">
        <f>"14.25"</f>
        <v>14.25</v>
      </c>
      <c r="C559" t="s">
        <v>511</v>
      </c>
    </row>
    <row r="560" spans="1:3" x14ac:dyDescent="0.25">
      <c r="A560" t="str">
        <f t="shared" si="17"/>
        <v>14</v>
      </c>
      <c r="B560" t="str">
        <f>"14.2501"</f>
        <v>14.2501</v>
      </c>
      <c r="C560" t="s">
        <v>511</v>
      </c>
    </row>
    <row r="561" spans="1:3" x14ac:dyDescent="0.25">
      <c r="A561" t="str">
        <f t="shared" si="17"/>
        <v>14</v>
      </c>
      <c r="B561" t="str">
        <f>"14.27"</f>
        <v>14.27</v>
      </c>
      <c r="C561" t="s">
        <v>512</v>
      </c>
    </row>
    <row r="562" spans="1:3" x14ac:dyDescent="0.25">
      <c r="A562" t="str">
        <f t="shared" si="17"/>
        <v>14</v>
      </c>
      <c r="B562" t="str">
        <f>"14.2701"</f>
        <v>14.2701</v>
      </c>
      <c r="C562" t="s">
        <v>512</v>
      </c>
    </row>
    <row r="563" spans="1:3" x14ac:dyDescent="0.25">
      <c r="A563" t="str">
        <f t="shared" si="17"/>
        <v>14</v>
      </c>
      <c r="B563" t="str">
        <f>"14.28"</f>
        <v>14.28</v>
      </c>
      <c r="C563" t="s">
        <v>513</v>
      </c>
    </row>
    <row r="564" spans="1:3" x14ac:dyDescent="0.25">
      <c r="A564" t="str">
        <f t="shared" ref="A564:A600" si="18">"14"</f>
        <v>14</v>
      </c>
      <c r="B564" t="str">
        <f>"14.2801"</f>
        <v>14.2801</v>
      </c>
      <c r="C564" t="s">
        <v>513</v>
      </c>
    </row>
    <row r="565" spans="1:3" x14ac:dyDescent="0.25">
      <c r="A565" t="str">
        <f t="shared" si="18"/>
        <v>14</v>
      </c>
      <c r="B565" t="str">
        <f>"14.32"</f>
        <v>14.32</v>
      </c>
      <c r="C565" t="s">
        <v>514</v>
      </c>
    </row>
    <row r="566" spans="1:3" x14ac:dyDescent="0.25">
      <c r="A566" t="str">
        <f t="shared" si="18"/>
        <v>14</v>
      </c>
      <c r="B566" t="str">
        <f>"14.3201"</f>
        <v>14.3201</v>
      </c>
      <c r="C566" t="s">
        <v>514</v>
      </c>
    </row>
    <row r="567" spans="1:3" x14ac:dyDescent="0.25">
      <c r="A567" t="str">
        <f t="shared" si="18"/>
        <v>14</v>
      </c>
      <c r="B567" t="str">
        <f>"14.33"</f>
        <v>14.33</v>
      </c>
      <c r="C567" t="s">
        <v>515</v>
      </c>
    </row>
    <row r="568" spans="1:3" x14ac:dyDescent="0.25">
      <c r="A568" t="str">
        <f t="shared" si="18"/>
        <v>14</v>
      </c>
      <c r="B568" t="str">
        <f>"14.3301"</f>
        <v>14.3301</v>
      </c>
      <c r="C568" t="s">
        <v>515</v>
      </c>
    </row>
    <row r="569" spans="1:3" x14ac:dyDescent="0.25">
      <c r="A569" t="str">
        <f t="shared" si="18"/>
        <v>14</v>
      </c>
      <c r="B569" t="str">
        <f>"14.34"</f>
        <v>14.34</v>
      </c>
      <c r="C569" t="s">
        <v>516</v>
      </c>
    </row>
    <row r="570" spans="1:3" x14ac:dyDescent="0.25">
      <c r="A570" t="str">
        <f t="shared" si="18"/>
        <v>14</v>
      </c>
      <c r="B570" t="str">
        <f>"14.3401"</f>
        <v>14.3401</v>
      </c>
      <c r="C570" t="s">
        <v>516</v>
      </c>
    </row>
    <row r="571" spans="1:3" x14ac:dyDescent="0.25">
      <c r="A571" t="str">
        <f t="shared" si="18"/>
        <v>14</v>
      </c>
      <c r="B571" t="str">
        <f>"14.35"</f>
        <v>14.35</v>
      </c>
      <c r="C571" t="s">
        <v>517</v>
      </c>
    </row>
    <row r="572" spans="1:3" x14ac:dyDescent="0.25">
      <c r="A572" t="str">
        <f t="shared" si="18"/>
        <v>14</v>
      </c>
      <c r="B572" t="str">
        <f>"14.3501"</f>
        <v>14.3501</v>
      </c>
      <c r="C572" t="s">
        <v>517</v>
      </c>
    </row>
    <row r="573" spans="1:3" x14ac:dyDescent="0.25">
      <c r="A573" t="str">
        <f t="shared" si="18"/>
        <v>14</v>
      </c>
      <c r="B573" t="str">
        <f>"14.36"</f>
        <v>14.36</v>
      </c>
      <c r="C573" t="s">
        <v>518</v>
      </c>
    </row>
    <row r="574" spans="1:3" x14ac:dyDescent="0.25">
      <c r="A574" t="str">
        <f t="shared" si="18"/>
        <v>14</v>
      </c>
      <c r="B574" t="str">
        <f>"14.3601"</f>
        <v>14.3601</v>
      </c>
      <c r="C574" t="s">
        <v>518</v>
      </c>
    </row>
    <row r="575" spans="1:3" x14ac:dyDescent="0.25">
      <c r="A575" t="str">
        <f t="shared" si="18"/>
        <v>14</v>
      </c>
      <c r="B575" t="str">
        <f>"14.37"</f>
        <v>14.37</v>
      </c>
      <c r="C575" t="s">
        <v>519</v>
      </c>
    </row>
    <row r="576" spans="1:3" x14ac:dyDescent="0.25">
      <c r="A576" t="str">
        <f t="shared" si="18"/>
        <v>14</v>
      </c>
      <c r="B576" t="str">
        <f>"14.3701"</f>
        <v>14.3701</v>
      </c>
      <c r="C576" t="s">
        <v>519</v>
      </c>
    </row>
    <row r="577" spans="1:3" x14ac:dyDescent="0.25">
      <c r="A577" t="str">
        <f t="shared" si="18"/>
        <v>14</v>
      </c>
      <c r="B577" t="str">
        <f>"14.38"</f>
        <v>14.38</v>
      </c>
      <c r="C577" t="s">
        <v>520</v>
      </c>
    </row>
    <row r="578" spans="1:3" x14ac:dyDescent="0.25">
      <c r="A578" t="str">
        <f t="shared" si="18"/>
        <v>14</v>
      </c>
      <c r="B578" t="str">
        <f>"14.3801"</f>
        <v>14.3801</v>
      </c>
      <c r="C578" t="s">
        <v>520</v>
      </c>
    </row>
    <row r="579" spans="1:3" x14ac:dyDescent="0.25">
      <c r="A579" t="str">
        <f t="shared" si="18"/>
        <v>14</v>
      </c>
      <c r="B579" t="str">
        <f>"14.39"</f>
        <v>14.39</v>
      </c>
      <c r="C579" t="s">
        <v>521</v>
      </c>
    </row>
    <row r="580" spans="1:3" x14ac:dyDescent="0.25">
      <c r="A580" t="str">
        <f t="shared" si="18"/>
        <v>14</v>
      </c>
      <c r="B580" t="str">
        <f>"14.3901"</f>
        <v>14.3901</v>
      </c>
      <c r="C580" t="s">
        <v>521</v>
      </c>
    </row>
    <row r="581" spans="1:3" x14ac:dyDescent="0.25">
      <c r="A581" t="str">
        <f t="shared" si="18"/>
        <v>14</v>
      </c>
      <c r="B581" t="str">
        <f>"14.40"</f>
        <v>14.40</v>
      </c>
      <c r="C581" t="s">
        <v>522</v>
      </c>
    </row>
    <row r="582" spans="1:3" x14ac:dyDescent="0.25">
      <c r="A582" t="str">
        <f t="shared" si="18"/>
        <v>14</v>
      </c>
      <c r="B582" t="str">
        <f>"14.4001"</f>
        <v>14.4001</v>
      </c>
      <c r="C582" t="s">
        <v>522</v>
      </c>
    </row>
    <row r="583" spans="1:3" x14ac:dyDescent="0.25">
      <c r="A583" t="str">
        <f t="shared" si="18"/>
        <v>14</v>
      </c>
      <c r="B583" t="str">
        <f>"14.41"</f>
        <v>14.41</v>
      </c>
      <c r="C583" t="s">
        <v>523</v>
      </c>
    </row>
    <row r="584" spans="1:3" x14ac:dyDescent="0.25">
      <c r="A584" t="str">
        <f t="shared" si="18"/>
        <v>14</v>
      </c>
      <c r="B584" t="str">
        <f>"14.4101"</f>
        <v>14.4101</v>
      </c>
      <c r="C584" t="s">
        <v>523</v>
      </c>
    </row>
    <row r="585" spans="1:3" x14ac:dyDescent="0.25">
      <c r="A585" t="str">
        <f t="shared" si="18"/>
        <v>14</v>
      </c>
      <c r="B585" t="str">
        <f>"14.42"</f>
        <v>14.42</v>
      </c>
      <c r="C585" t="s">
        <v>524</v>
      </c>
    </row>
    <row r="586" spans="1:3" x14ac:dyDescent="0.25">
      <c r="A586" t="str">
        <f t="shared" si="18"/>
        <v>14</v>
      </c>
      <c r="B586" t="str">
        <f>"14.4201"</f>
        <v>14.4201</v>
      </c>
      <c r="C586" t="s">
        <v>524</v>
      </c>
    </row>
    <row r="587" spans="1:3" x14ac:dyDescent="0.25">
      <c r="A587" t="str">
        <f t="shared" si="18"/>
        <v>14</v>
      </c>
      <c r="B587" t="str">
        <f>"14.43"</f>
        <v>14.43</v>
      </c>
      <c r="C587" t="s">
        <v>525</v>
      </c>
    </row>
    <row r="588" spans="1:3" x14ac:dyDescent="0.25">
      <c r="A588" t="str">
        <f t="shared" si="18"/>
        <v>14</v>
      </c>
      <c r="B588" t="str">
        <f>"14.4301"</f>
        <v>14.4301</v>
      </c>
      <c r="C588" t="s">
        <v>525</v>
      </c>
    </row>
    <row r="589" spans="1:3" x14ac:dyDescent="0.25">
      <c r="A589" t="str">
        <f t="shared" si="18"/>
        <v>14</v>
      </c>
      <c r="B589" t="str">
        <f>"14.44"</f>
        <v>14.44</v>
      </c>
      <c r="C589" t="s">
        <v>526</v>
      </c>
    </row>
    <row r="590" spans="1:3" x14ac:dyDescent="0.25">
      <c r="A590" t="str">
        <f t="shared" si="18"/>
        <v>14</v>
      </c>
      <c r="B590" t="str">
        <f>"14.4401"</f>
        <v>14.4401</v>
      </c>
      <c r="C590" t="s">
        <v>526</v>
      </c>
    </row>
    <row r="591" spans="1:3" x14ac:dyDescent="0.25">
      <c r="A591" t="str">
        <f t="shared" si="18"/>
        <v>14</v>
      </c>
      <c r="B591" t="str">
        <f>"14.45"</f>
        <v>14.45</v>
      </c>
      <c r="C591" t="s">
        <v>527</v>
      </c>
    </row>
    <row r="592" spans="1:3" x14ac:dyDescent="0.25">
      <c r="A592" t="str">
        <f t="shared" si="18"/>
        <v>14</v>
      </c>
      <c r="B592" t="str">
        <f>"14.4501"</f>
        <v>14.4501</v>
      </c>
      <c r="C592" t="s">
        <v>527</v>
      </c>
    </row>
    <row r="593" spans="1:3" x14ac:dyDescent="0.25">
      <c r="A593" t="str">
        <f t="shared" si="18"/>
        <v>14</v>
      </c>
      <c r="B593" t="str">
        <f>"14.47"</f>
        <v>14.47</v>
      </c>
      <c r="C593" t="s">
        <v>528</v>
      </c>
    </row>
    <row r="594" spans="1:3" x14ac:dyDescent="0.25">
      <c r="A594" t="str">
        <f t="shared" si="18"/>
        <v>14</v>
      </c>
      <c r="B594" t="str">
        <f>"14.4701"</f>
        <v>14.4701</v>
      </c>
      <c r="C594" t="s">
        <v>528</v>
      </c>
    </row>
    <row r="595" spans="1:3" x14ac:dyDescent="0.25">
      <c r="A595" t="str">
        <f t="shared" si="18"/>
        <v>14</v>
      </c>
      <c r="B595" t="str">
        <f>"14.48"</f>
        <v>14.48</v>
      </c>
      <c r="C595" t="s">
        <v>529</v>
      </c>
    </row>
    <row r="596" spans="1:3" x14ac:dyDescent="0.25">
      <c r="A596" t="str">
        <f t="shared" si="18"/>
        <v>14</v>
      </c>
      <c r="B596" t="str">
        <f>"14.4801"</f>
        <v>14.4801</v>
      </c>
      <c r="C596" t="s">
        <v>530</v>
      </c>
    </row>
    <row r="597" spans="1:3" x14ac:dyDescent="0.25">
      <c r="A597" t="str">
        <f t="shared" si="18"/>
        <v>14</v>
      </c>
      <c r="B597" t="str">
        <f>"14.4802"</f>
        <v>14.4802</v>
      </c>
      <c r="C597" t="s">
        <v>531</v>
      </c>
    </row>
    <row r="598" spans="1:3" x14ac:dyDescent="0.25">
      <c r="A598" t="str">
        <f t="shared" si="18"/>
        <v>14</v>
      </c>
      <c r="B598" t="str">
        <f>"14.4899"</f>
        <v>14.4899</v>
      </c>
      <c r="C598" t="s">
        <v>532</v>
      </c>
    </row>
    <row r="599" spans="1:3" x14ac:dyDescent="0.25">
      <c r="A599" t="str">
        <f t="shared" si="18"/>
        <v>14</v>
      </c>
      <c r="B599" t="str">
        <f>"14.99"</f>
        <v>14.99</v>
      </c>
      <c r="C599" t="s">
        <v>533</v>
      </c>
    </row>
    <row r="600" spans="1:3" x14ac:dyDescent="0.25">
      <c r="A600" t="str">
        <f t="shared" si="18"/>
        <v>14</v>
      </c>
      <c r="B600" t="str">
        <f>"14.9999"</f>
        <v>14.9999</v>
      </c>
      <c r="C600" t="s">
        <v>533</v>
      </c>
    </row>
    <row r="601" spans="1:3" x14ac:dyDescent="0.25">
      <c r="A601" t="str">
        <f>"15"</f>
        <v>15</v>
      </c>
      <c r="B601" t="str">
        <f>"15"</f>
        <v>15</v>
      </c>
      <c r="C601" t="s">
        <v>534</v>
      </c>
    </row>
    <row r="602" spans="1:3" x14ac:dyDescent="0.25">
      <c r="A602" t="str">
        <f t="shared" ref="A602:A633" si="19">"15"</f>
        <v>15</v>
      </c>
      <c r="B602" t="str">
        <f>"15.00"</f>
        <v>15.00</v>
      </c>
      <c r="C602" t="s">
        <v>535</v>
      </c>
    </row>
    <row r="603" spans="1:3" x14ac:dyDescent="0.25">
      <c r="A603" t="str">
        <f t="shared" si="19"/>
        <v>15</v>
      </c>
      <c r="B603" t="str">
        <f>"15.0000"</f>
        <v>15.0000</v>
      </c>
      <c r="C603" t="s">
        <v>535</v>
      </c>
    </row>
    <row r="604" spans="1:3" x14ac:dyDescent="0.25">
      <c r="A604" t="str">
        <f t="shared" si="19"/>
        <v>15</v>
      </c>
      <c r="B604" t="str">
        <f>"15.0001"</f>
        <v>15.0001</v>
      </c>
      <c r="C604" t="s">
        <v>536</v>
      </c>
    </row>
    <row r="605" spans="1:3" x14ac:dyDescent="0.25">
      <c r="A605" t="str">
        <f t="shared" si="19"/>
        <v>15</v>
      </c>
      <c r="B605" t="str">
        <f>"15.01"</f>
        <v>15.01</v>
      </c>
      <c r="C605" t="s">
        <v>537</v>
      </c>
    </row>
    <row r="606" spans="1:3" x14ac:dyDescent="0.25">
      <c r="A606" t="str">
        <f t="shared" si="19"/>
        <v>15</v>
      </c>
      <c r="B606" t="str">
        <f>"15.0101"</f>
        <v>15.0101</v>
      </c>
      <c r="C606" t="s">
        <v>537</v>
      </c>
    </row>
    <row r="607" spans="1:3" x14ac:dyDescent="0.25">
      <c r="A607" t="str">
        <f t="shared" si="19"/>
        <v>15</v>
      </c>
      <c r="B607" t="str">
        <f>"15.02"</f>
        <v>15.02</v>
      </c>
      <c r="C607" t="s">
        <v>538</v>
      </c>
    </row>
    <row r="608" spans="1:3" x14ac:dyDescent="0.25">
      <c r="A608" t="str">
        <f t="shared" si="19"/>
        <v>15</v>
      </c>
      <c r="B608" t="str">
        <f>"15.0201"</f>
        <v>15.0201</v>
      </c>
      <c r="C608" t="s">
        <v>538</v>
      </c>
    </row>
    <row r="609" spans="1:3" x14ac:dyDescent="0.25">
      <c r="A609" t="str">
        <f t="shared" si="19"/>
        <v>15</v>
      </c>
      <c r="B609" t="str">
        <f>"15.03"</f>
        <v>15.03</v>
      </c>
      <c r="C609" t="s">
        <v>539</v>
      </c>
    </row>
    <row r="610" spans="1:3" x14ac:dyDescent="0.25">
      <c r="A610" t="str">
        <f t="shared" si="19"/>
        <v>15</v>
      </c>
      <c r="B610" t="str">
        <f>"15.0303"</f>
        <v>15.0303</v>
      </c>
      <c r="C610" t="s">
        <v>540</v>
      </c>
    </row>
    <row r="611" spans="1:3" x14ac:dyDescent="0.25">
      <c r="A611" t="str">
        <f t="shared" si="19"/>
        <v>15</v>
      </c>
      <c r="B611" t="str">
        <f>"15.0304"</f>
        <v>15.0304</v>
      </c>
      <c r="C611" t="s">
        <v>541</v>
      </c>
    </row>
    <row r="612" spans="1:3" x14ac:dyDescent="0.25">
      <c r="A612" t="str">
        <f t="shared" si="19"/>
        <v>15</v>
      </c>
      <c r="B612" t="str">
        <f>"15.0305"</f>
        <v>15.0305</v>
      </c>
      <c r="C612" t="s">
        <v>542</v>
      </c>
    </row>
    <row r="613" spans="1:3" x14ac:dyDescent="0.25">
      <c r="A613" t="str">
        <f t="shared" si="19"/>
        <v>15</v>
      </c>
      <c r="B613" t="str">
        <f>"15.0306"</f>
        <v>15.0306</v>
      </c>
      <c r="C613" t="s">
        <v>543</v>
      </c>
    </row>
    <row r="614" spans="1:3" x14ac:dyDescent="0.25">
      <c r="A614" t="str">
        <f t="shared" si="19"/>
        <v>15</v>
      </c>
      <c r="B614" t="str">
        <f>"15.0307"</f>
        <v>15.0307</v>
      </c>
      <c r="C614" t="s">
        <v>544</v>
      </c>
    </row>
    <row r="615" spans="1:3" x14ac:dyDescent="0.25">
      <c r="A615" t="str">
        <f t="shared" si="19"/>
        <v>15</v>
      </c>
      <c r="B615" t="str">
        <f>"15.0399"</f>
        <v>15.0399</v>
      </c>
      <c r="C615" t="s">
        <v>545</v>
      </c>
    </row>
    <row r="616" spans="1:3" x14ac:dyDescent="0.25">
      <c r="A616" t="str">
        <f t="shared" si="19"/>
        <v>15</v>
      </c>
      <c r="B616" t="str">
        <f>"15.04"</f>
        <v>15.04</v>
      </c>
      <c r="C616" t="s">
        <v>546</v>
      </c>
    </row>
    <row r="617" spans="1:3" x14ac:dyDescent="0.25">
      <c r="A617" t="str">
        <f t="shared" si="19"/>
        <v>15</v>
      </c>
      <c r="B617" t="str">
        <f>"15.0401"</f>
        <v>15.0401</v>
      </c>
      <c r="C617" t="s">
        <v>547</v>
      </c>
    </row>
    <row r="618" spans="1:3" x14ac:dyDescent="0.25">
      <c r="A618" t="str">
        <f t="shared" si="19"/>
        <v>15</v>
      </c>
      <c r="B618" t="str">
        <f>"15.0403"</f>
        <v>15.0403</v>
      </c>
      <c r="C618" t="s">
        <v>548</v>
      </c>
    </row>
    <row r="619" spans="1:3" x14ac:dyDescent="0.25">
      <c r="A619" t="str">
        <f t="shared" si="19"/>
        <v>15</v>
      </c>
      <c r="B619" t="str">
        <f>"15.0404"</f>
        <v>15.0404</v>
      </c>
      <c r="C619" t="s">
        <v>549</v>
      </c>
    </row>
    <row r="620" spans="1:3" x14ac:dyDescent="0.25">
      <c r="A620" t="str">
        <f t="shared" si="19"/>
        <v>15</v>
      </c>
      <c r="B620" t="str">
        <f>"15.0405"</f>
        <v>15.0405</v>
      </c>
      <c r="C620" t="s">
        <v>550</v>
      </c>
    </row>
    <row r="621" spans="1:3" x14ac:dyDescent="0.25">
      <c r="A621" t="str">
        <f t="shared" si="19"/>
        <v>15</v>
      </c>
      <c r="B621" t="str">
        <f>"15.0406"</f>
        <v>15.0406</v>
      </c>
      <c r="C621" t="s">
        <v>551</v>
      </c>
    </row>
    <row r="622" spans="1:3" x14ac:dyDescent="0.25">
      <c r="A622" t="str">
        <f t="shared" si="19"/>
        <v>15</v>
      </c>
      <c r="B622" t="str">
        <f>"15.0407"</f>
        <v>15.0407</v>
      </c>
      <c r="C622" t="s">
        <v>552</v>
      </c>
    </row>
    <row r="623" spans="1:3" x14ac:dyDescent="0.25">
      <c r="A623" t="str">
        <f t="shared" si="19"/>
        <v>15</v>
      </c>
      <c r="B623" t="str">
        <f>"15.0499"</f>
        <v>15.0499</v>
      </c>
      <c r="C623" t="s">
        <v>553</v>
      </c>
    </row>
    <row r="624" spans="1:3" x14ac:dyDescent="0.25">
      <c r="A624" t="str">
        <f t="shared" si="19"/>
        <v>15</v>
      </c>
      <c r="B624" t="str">
        <f>"15.05"</f>
        <v>15.05</v>
      </c>
      <c r="C624" t="s">
        <v>554</v>
      </c>
    </row>
    <row r="625" spans="1:3" x14ac:dyDescent="0.25">
      <c r="A625" t="str">
        <f t="shared" si="19"/>
        <v>15</v>
      </c>
      <c r="B625" t="str">
        <f>"15.0501"</f>
        <v>15.0501</v>
      </c>
      <c r="C625" t="s">
        <v>555</v>
      </c>
    </row>
    <row r="626" spans="1:3" x14ac:dyDescent="0.25">
      <c r="A626" t="str">
        <f t="shared" si="19"/>
        <v>15</v>
      </c>
      <c r="B626" t="str">
        <f>"15.0503"</f>
        <v>15.0503</v>
      </c>
      <c r="C626" t="s">
        <v>556</v>
      </c>
    </row>
    <row r="627" spans="1:3" x14ac:dyDescent="0.25">
      <c r="A627" t="str">
        <f t="shared" si="19"/>
        <v>15</v>
      </c>
      <c r="B627" t="str">
        <f>"15.0505"</f>
        <v>15.0505</v>
      </c>
      <c r="C627" t="s">
        <v>557</v>
      </c>
    </row>
    <row r="628" spans="1:3" x14ac:dyDescent="0.25">
      <c r="A628" t="str">
        <f t="shared" si="19"/>
        <v>15</v>
      </c>
      <c r="B628" t="str">
        <f>"15.0506"</f>
        <v>15.0506</v>
      </c>
      <c r="C628" t="s">
        <v>558</v>
      </c>
    </row>
    <row r="629" spans="1:3" x14ac:dyDescent="0.25">
      <c r="A629" t="str">
        <f t="shared" si="19"/>
        <v>15</v>
      </c>
      <c r="B629" t="str">
        <f>"15.0507"</f>
        <v>15.0507</v>
      </c>
      <c r="C629" t="s">
        <v>559</v>
      </c>
    </row>
    <row r="630" spans="1:3" x14ac:dyDescent="0.25">
      <c r="A630" t="str">
        <f t="shared" si="19"/>
        <v>15</v>
      </c>
      <c r="B630" t="str">
        <f>"15.0508"</f>
        <v>15.0508</v>
      </c>
      <c r="C630" t="s">
        <v>560</v>
      </c>
    </row>
    <row r="631" spans="1:3" x14ac:dyDescent="0.25">
      <c r="A631" t="str">
        <f t="shared" si="19"/>
        <v>15</v>
      </c>
      <c r="B631" t="str">
        <f>"15.0599"</f>
        <v>15.0599</v>
      </c>
      <c r="C631" t="s">
        <v>561</v>
      </c>
    </row>
    <row r="632" spans="1:3" x14ac:dyDescent="0.25">
      <c r="A632" t="str">
        <f t="shared" si="19"/>
        <v>15</v>
      </c>
      <c r="B632" t="str">
        <f>"15.06"</f>
        <v>15.06</v>
      </c>
      <c r="C632" t="s">
        <v>562</v>
      </c>
    </row>
    <row r="633" spans="1:3" x14ac:dyDescent="0.25">
      <c r="A633" t="str">
        <f t="shared" si="19"/>
        <v>15</v>
      </c>
      <c r="B633" t="str">
        <f>"15.0607"</f>
        <v>15.0607</v>
      </c>
      <c r="C633" t="s">
        <v>563</v>
      </c>
    </row>
    <row r="634" spans="1:3" x14ac:dyDescent="0.25">
      <c r="A634" t="str">
        <f t="shared" ref="A634:A665" si="20">"15"</f>
        <v>15</v>
      </c>
      <c r="B634" t="str">
        <f>"15.0611"</f>
        <v>15.0611</v>
      </c>
      <c r="C634" t="s">
        <v>564</v>
      </c>
    </row>
    <row r="635" spans="1:3" x14ac:dyDescent="0.25">
      <c r="A635" t="str">
        <f t="shared" si="20"/>
        <v>15</v>
      </c>
      <c r="B635" t="str">
        <f>"15.0612"</f>
        <v>15.0612</v>
      </c>
      <c r="C635" t="s">
        <v>565</v>
      </c>
    </row>
    <row r="636" spans="1:3" x14ac:dyDescent="0.25">
      <c r="A636" t="str">
        <f t="shared" si="20"/>
        <v>15</v>
      </c>
      <c r="B636" t="str">
        <f>"15.0613"</f>
        <v>15.0613</v>
      </c>
      <c r="C636" t="s">
        <v>566</v>
      </c>
    </row>
    <row r="637" spans="1:3" x14ac:dyDescent="0.25">
      <c r="A637" t="str">
        <f t="shared" si="20"/>
        <v>15</v>
      </c>
      <c r="B637" t="str">
        <f>"15.0614"</f>
        <v>15.0614</v>
      </c>
      <c r="C637" t="s">
        <v>567</v>
      </c>
    </row>
    <row r="638" spans="1:3" x14ac:dyDescent="0.25">
      <c r="A638" t="str">
        <f t="shared" si="20"/>
        <v>15</v>
      </c>
      <c r="B638" t="str">
        <f>"15.0615"</f>
        <v>15.0615</v>
      </c>
      <c r="C638" t="s">
        <v>568</v>
      </c>
    </row>
    <row r="639" spans="1:3" x14ac:dyDescent="0.25">
      <c r="A639" t="str">
        <f t="shared" si="20"/>
        <v>15</v>
      </c>
      <c r="B639" t="str">
        <f>"15.0616"</f>
        <v>15.0616</v>
      </c>
      <c r="C639" t="s">
        <v>569</v>
      </c>
    </row>
    <row r="640" spans="1:3" x14ac:dyDescent="0.25">
      <c r="A640" t="str">
        <f t="shared" si="20"/>
        <v>15</v>
      </c>
      <c r="B640" t="str">
        <f>"15.0617"</f>
        <v>15.0617</v>
      </c>
      <c r="C640" t="s">
        <v>570</v>
      </c>
    </row>
    <row r="641" spans="1:3" x14ac:dyDescent="0.25">
      <c r="A641" t="str">
        <f t="shared" si="20"/>
        <v>15</v>
      </c>
      <c r="B641" t="str">
        <f>"15.0699"</f>
        <v>15.0699</v>
      </c>
      <c r="C641" t="s">
        <v>571</v>
      </c>
    </row>
    <row r="642" spans="1:3" x14ac:dyDescent="0.25">
      <c r="A642" t="str">
        <f t="shared" si="20"/>
        <v>15</v>
      </c>
      <c r="B642" t="str">
        <f>"15.07"</f>
        <v>15.07</v>
      </c>
      <c r="C642" t="s">
        <v>572</v>
      </c>
    </row>
    <row r="643" spans="1:3" x14ac:dyDescent="0.25">
      <c r="A643" t="str">
        <f t="shared" si="20"/>
        <v>15</v>
      </c>
      <c r="B643" t="str">
        <f>"15.0701"</f>
        <v>15.0701</v>
      </c>
      <c r="C643" t="s">
        <v>573</v>
      </c>
    </row>
    <row r="644" spans="1:3" x14ac:dyDescent="0.25">
      <c r="A644" t="str">
        <f t="shared" si="20"/>
        <v>15</v>
      </c>
      <c r="B644" t="str">
        <f>"15.0702"</f>
        <v>15.0702</v>
      </c>
      <c r="C644" t="s">
        <v>574</v>
      </c>
    </row>
    <row r="645" spans="1:3" x14ac:dyDescent="0.25">
      <c r="A645" t="str">
        <f t="shared" si="20"/>
        <v>15</v>
      </c>
      <c r="B645" t="str">
        <f>"15.0703"</f>
        <v>15.0703</v>
      </c>
      <c r="C645" t="s">
        <v>575</v>
      </c>
    </row>
    <row r="646" spans="1:3" x14ac:dyDescent="0.25">
      <c r="A646" t="str">
        <f t="shared" si="20"/>
        <v>15</v>
      </c>
      <c r="B646" t="str">
        <f>"15.0704"</f>
        <v>15.0704</v>
      </c>
      <c r="C646" t="s">
        <v>576</v>
      </c>
    </row>
    <row r="647" spans="1:3" x14ac:dyDescent="0.25">
      <c r="A647" t="str">
        <f t="shared" si="20"/>
        <v>15</v>
      </c>
      <c r="B647" t="str">
        <f>"15.0705"</f>
        <v>15.0705</v>
      </c>
      <c r="C647" t="s">
        <v>577</v>
      </c>
    </row>
    <row r="648" spans="1:3" x14ac:dyDescent="0.25">
      <c r="A648" t="str">
        <f t="shared" si="20"/>
        <v>15</v>
      </c>
      <c r="B648" t="str">
        <f>"15.0799"</f>
        <v>15.0799</v>
      </c>
      <c r="C648" t="s">
        <v>578</v>
      </c>
    </row>
    <row r="649" spans="1:3" x14ac:dyDescent="0.25">
      <c r="A649" t="str">
        <f t="shared" si="20"/>
        <v>15</v>
      </c>
      <c r="B649" t="str">
        <f>"15.08"</f>
        <v>15.08</v>
      </c>
      <c r="C649" t="s">
        <v>579</v>
      </c>
    </row>
    <row r="650" spans="1:3" x14ac:dyDescent="0.25">
      <c r="A650" t="str">
        <f t="shared" si="20"/>
        <v>15</v>
      </c>
      <c r="B650" t="str">
        <f>"15.0801"</f>
        <v>15.0801</v>
      </c>
      <c r="C650" t="s">
        <v>580</v>
      </c>
    </row>
    <row r="651" spans="1:3" x14ac:dyDescent="0.25">
      <c r="A651" t="str">
        <f t="shared" si="20"/>
        <v>15</v>
      </c>
      <c r="B651" t="str">
        <f>"15.0803"</f>
        <v>15.0803</v>
      </c>
      <c r="C651" t="s">
        <v>581</v>
      </c>
    </row>
    <row r="652" spans="1:3" x14ac:dyDescent="0.25">
      <c r="A652" t="str">
        <f t="shared" si="20"/>
        <v>15</v>
      </c>
      <c r="B652" t="str">
        <f>"15.0805"</f>
        <v>15.0805</v>
      </c>
      <c r="C652" t="s">
        <v>582</v>
      </c>
    </row>
    <row r="653" spans="1:3" x14ac:dyDescent="0.25">
      <c r="A653" t="str">
        <f t="shared" si="20"/>
        <v>15</v>
      </c>
      <c r="B653" t="str">
        <f>"15.0806"</f>
        <v>15.0806</v>
      </c>
      <c r="C653" t="s">
        <v>583</v>
      </c>
    </row>
    <row r="654" spans="1:3" x14ac:dyDescent="0.25">
      <c r="A654" t="str">
        <f t="shared" si="20"/>
        <v>15</v>
      </c>
      <c r="B654" t="str">
        <f>"15.0807"</f>
        <v>15.0807</v>
      </c>
      <c r="C654" t="s">
        <v>584</v>
      </c>
    </row>
    <row r="655" spans="1:3" x14ac:dyDescent="0.25">
      <c r="A655" t="str">
        <f t="shared" si="20"/>
        <v>15</v>
      </c>
      <c r="B655" t="str">
        <f>"15.0899"</f>
        <v>15.0899</v>
      </c>
      <c r="C655" t="s">
        <v>585</v>
      </c>
    </row>
    <row r="656" spans="1:3" x14ac:dyDescent="0.25">
      <c r="A656" t="str">
        <f t="shared" si="20"/>
        <v>15</v>
      </c>
      <c r="B656" t="str">
        <f>"15.09"</f>
        <v>15.09</v>
      </c>
      <c r="C656" t="s">
        <v>586</v>
      </c>
    </row>
    <row r="657" spans="1:3" x14ac:dyDescent="0.25">
      <c r="A657" t="str">
        <f t="shared" si="20"/>
        <v>15</v>
      </c>
      <c r="B657" t="str">
        <f>"15.0901"</f>
        <v>15.0901</v>
      </c>
      <c r="C657" t="s">
        <v>587</v>
      </c>
    </row>
    <row r="658" spans="1:3" x14ac:dyDescent="0.25">
      <c r="A658" t="str">
        <f t="shared" si="20"/>
        <v>15</v>
      </c>
      <c r="B658" t="str">
        <f>"15.0903"</f>
        <v>15.0903</v>
      </c>
      <c r="C658" t="s">
        <v>588</v>
      </c>
    </row>
    <row r="659" spans="1:3" x14ac:dyDescent="0.25">
      <c r="A659" t="str">
        <f t="shared" si="20"/>
        <v>15</v>
      </c>
      <c r="B659" t="str">
        <f>"15.0999"</f>
        <v>15.0999</v>
      </c>
      <c r="C659" t="s">
        <v>589</v>
      </c>
    </row>
    <row r="660" spans="1:3" x14ac:dyDescent="0.25">
      <c r="A660" t="str">
        <f t="shared" si="20"/>
        <v>15</v>
      </c>
      <c r="B660" t="str">
        <f>"15.10"</f>
        <v>15.10</v>
      </c>
      <c r="C660" t="s">
        <v>590</v>
      </c>
    </row>
    <row r="661" spans="1:3" x14ac:dyDescent="0.25">
      <c r="A661" t="str">
        <f t="shared" si="20"/>
        <v>15</v>
      </c>
      <c r="B661" t="str">
        <f>"15.1001"</f>
        <v>15.1001</v>
      </c>
      <c r="C661" t="s">
        <v>590</v>
      </c>
    </row>
    <row r="662" spans="1:3" x14ac:dyDescent="0.25">
      <c r="A662" t="str">
        <f t="shared" si="20"/>
        <v>15</v>
      </c>
      <c r="B662" t="str">
        <f>"15.11"</f>
        <v>15.11</v>
      </c>
      <c r="C662" t="s">
        <v>591</v>
      </c>
    </row>
    <row r="663" spans="1:3" x14ac:dyDescent="0.25">
      <c r="A663" t="str">
        <f t="shared" si="20"/>
        <v>15</v>
      </c>
      <c r="B663" t="str">
        <f>"15.1102"</f>
        <v>15.1102</v>
      </c>
      <c r="C663" t="s">
        <v>592</v>
      </c>
    </row>
    <row r="664" spans="1:3" x14ac:dyDescent="0.25">
      <c r="A664" t="str">
        <f t="shared" si="20"/>
        <v>15</v>
      </c>
      <c r="B664" t="str">
        <f>"15.1103"</f>
        <v>15.1103</v>
      </c>
      <c r="C664" t="s">
        <v>593</v>
      </c>
    </row>
    <row r="665" spans="1:3" x14ac:dyDescent="0.25">
      <c r="A665" t="str">
        <f t="shared" si="20"/>
        <v>15</v>
      </c>
      <c r="B665" t="str">
        <f>"15.1199"</f>
        <v>15.1199</v>
      </c>
      <c r="C665" t="s">
        <v>594</v>
      </c>
    </row>
    <row r="666" spans="1:3" x14ac:dyDescent="0.25">
      <c r="A666" t="str">
        <f t="shared" ref="A666:A699" si="21">"15"</f>
        <v>15</v>
      </c>
      <c r="B666" t="str">
        <f>"15.12"</f>
        <v>15.12</v>
      </c>
      <c r="C666" t="s">
        <v>595</v>
      </c>
    </row>
    <row r="667" spans="1:3" x14ac:dyDescent="0.25">
      <c r="A667" t="str">
        <f t="shared" si="21"/>
        <v>15</v>
      </c>
      <c r="B667" t="str">
        <f>"15.1201"</f>
        <v>15.1201</v>
      </c>
      <c r="C667" t="s">
        <v>596</v>
      </c>
    </row>
    <row r="668" spans="1:3" x14ac:dyDescent="0.25">
      <c r="A668" t="str">
        <f t="shared" si="21"/>
        <v>15</v>
      </c>
      <c r="B668" t="str">
        <f>"15.1202"</f>
        <v>15.1202</v>
      </c>
      <c r="C668" t="s">
        <v>597</v>
      </c>
    </row>
    <row r="669" spans="1:3" x14ac:dyDescent="0.25">
      <c r="A669" t="str">
        <f t="shared" si="21"/>
        <v>15</v>
      </c>
      <c r="B669" t="str">
        <f>"15.1203"</f>
        <v>15.1203</v>
      </c>
      <c r="C669" t="s">
        <v>598</v>
      </c>
    </row>
    <row r="670" spans="1:3" x14ac:dyDescent="0.25">
      <c r="A670" t="str">
        <f t="shared" si="21"/>
        <v>15</v>
      </c>
      <c r="B670" t="str">
        <f>"15.1204"</f>
        <v>15.1204</v>
      </c>
      <c r="C670" t="s">
        <v>599</v>
      </c>
    </row>
    <row r="671" spans="1:3" x14ac:dyDescent="0.25">
      <c r="A671" t="str">
        <f t="shared" si="21"/>
        <v>15</v>
      </c>
      <c r="B671" t="str">
        <f>"15.1299"</f>
        <v>15.1299</v>
      </c>
      <c r="C671" t="s">
        <v>600</v>
      </c>
    </row>
    <row r="672" spans="1:3" x14ac:dyDescent="0.25">
      <c r="A672" t="str">
        <f t="shared" si="21"/>
        <v>15</v>
      </c>
      <c r="B672" t="str">
        <f>"15.13"</f>
        <v>15.13</v>
      </c>
      <c r="C672" t="s">
        <v>601</v>
      </c>
    </row>
    <row r="673" spans="1:3" x14ac:dyDescent="0.25">
      <c r="A673" t="str">
        <f t="shared" si="21"/>
        <v>15</v>
      </c>
      <c r="B673" t="str">
        <f>"15.1301"</f>
        <v>15.1301</v>
      </c>
      <c r="C673" t="s">
        <v>602</v>
      </c>
    </row>
    <row r="674" spans="1:3" x14ac:dyDescent="0.25">
      <c r="A674" t="str">
        <f t="shared" si="21"/>
        <v>15</v>
      </c>
      <c r="B674" t="str">
        <f>"15.1302"</f>
        <v>15.1302</v>
      </c>
      <c r="C674" t="s">
        <v>603</v>
      </c>
    </row>
    <row r="675" spans="1:3" x14ac:dyDescent="0.25">
      <c r="A675" t="str">
        <f t="shared" si="21"/>
        <v>15</v>
      </c>
      <c r="B675" t="str">
        <f>"15.1303"</f>
        <v>15.1303</v>
      </c>
      <c r="C675" t="s">
        <v>604</v>
      </c>
    </row>
    <row r="676" spans="1:3" x14ac:dyDescent="0.25">
      <c r="A676" t="str">
        <f t="shared" si="21"/>
        <v>15</v>
      </c>
      <c r="B676" t="str">
        <f>"15.1304"</f>
        <v>15.1304</v>
      </c>
      <c r="C676" t="s">
        <v>605</v>
      </c>
    </row>
    <row r="677" spans="1:3" x14ac:dyDescent="0.25">
      <c r="A677" t="str">
        <f t="shared" si="21"/>
        <v>15</v>
      </c>
      <c r="B677" t="str">
        <f>"15.1305"</f>
        <v>15.1305</v>
      </c>
      <c r="C677" t="s">
        <v>606</v>
      </c>
    </row>
    <row r="678" spans="1:3" x14ac:dyDescent="0.25">
      <c r="A678" t="str">
        <f t="shared" si="21"/>
        <v>15</v>
      </c>
      <c r="B678" t="str">
        <f>"15.1306"</f>
        <v>15.1306</v>
      </c>
      <c r="C678" t="s">
        <v>607</v>
      </c>
    </row>
    <row r="679" spans="1:3" x14ac:dyDescent="0.25">
      <c r="A679" t="str">
        <f t="shared" si="21"/>
        <v>15</v>
      </c>
      <c r="B679" t="str">
        <f>"15.1307"</f>
        <v>15.1307</v>
      </c>
      <c r="C679" t="s">
        <v>608</v>
      </c>
    </row>
    <row r="680" spans="1:3" x14ac:dyDescent="0.25">
      <c r="A680" t="str">
        <f t="shared" si="21"/>
        <v>15</v>
      </c>
      <c r="B680" t="str">
        <f>"15.1399"</f>
        <v>15.1399</v>
      </c>
      <c r="C680" t="s">
        <v>609</v>
      </c>
    </row>
    <row r="681" spans="1:3" x14ac:dyDescent="0.25">
      <c r="A681" t="str">
        <f t="shared" si="21"/>
        <v>15</v>
      </c>
      <c r="B681" t="str">
        <f>"15.14"</f>
        <v>15.14</v>
      </c>
      <c r="C681" t="s">
        <v>610</v>
      </c>
    </row>
    <row r="682" spans="1:3" x14ac:dyDescent="0.25">
      <c r="A682" t="str">
        <f t="shared" si="21"/>
        <v>15</v>
      </c>
      <c r="B682" t="str">
        <f>"15.1401"</f>
        <v>15.1401</v>
      </c>
      <c r="C682" t="s">
        <v>610</v>
      </c>
    </row>
    <row r="683" spans="1:3" x14ac:dyDescent="0.25">
      <c r="A683" t="str">
        <f t="shared" si="21"/>
        <v>15</v>
      </c>
      <c r="B683" t="str">
        <f>"15.15"</f>
        <v>15.15</v>
      </c>
      <c r="C683" t="s">
        <v>611</v>
      </c>
    </row>
    <row r="684" spans="1:3" x14ac:dyDescent="0.25">
      <c r="A684" t="str">
        <f t="shared" si="21"/>
        <v>15</v>
      </c>
      <c r="B684" t="str">
        <f>"15.1501"</f>
        <v>15.1501</v>
      </c>
      <c r="C684" t="s">
        <v>612</v>
      </c>
    </row>
    <row r="685" spans="1:3" x14ac:dyDescent="0.25">
      <c r="A685" t="str">
        <f t="shared" si="21"/>
        <v>15</v>
      </c>
      <c r="B685" t="str">
        <f>"15.1502"</f>
        <v>15.1502</v>
      </c>
      <c r="C685" t="s">
        <v>613</v>
      </c>
    </row>
    <row r="686" spans="1:3" x14ac:dyDescent="0.25">
      <c r="A686" t="str">
        <f t="shared" si="21"/>
        <v>15</v>
      </c>
      <c r="B686" t="str">
        <f>"15.1503"</f>
        <v>15.1503</v>
      </c>
      <c r="C686" t="s">
        <v>614</v>
      </c>
    </row>
    <row r="687" spans="1:3" x14ac:dyDescent="0.25">
      <c r="A687" t="str">
        <f t="shared" si="21"/>
        <v>15</v>
      </c>
      <c r="B687" t="str">
        <f>"15.1599"</f>
        <v>15.1599</v>
      </c>
      <c r="C687" t="s">
        <v>615</v>
      </c>
    </row>
    <row r="688" spans="1:3" x14ac:dyDescent="0.25">
      <c r="A688" t="str">
        <f t="shared" si="21"/>
        <v>15</v>
      </c>
      <c r="B688" t="str">
        <f>"15.16"</f>
        <v>15.16</v>
      </c>
      <c r="C688" t="s">
        <v>616</v>
      </c>
    </row>
    <row r="689" spans="1:3" x14ac:dyDescent="0.25">
      <c r="A689" t="str">
        <f t="shared" si="21"/>
        <v>15</v>
      </c>
      <c r="B689" t="str">
        <f>"15.1601"</f>
        <v>15.1601</v>
      </c>
      <c r="C689" t="s">
        <v>616</v>
      </c>
    </row>
    <row r="690" spans="1:3" x14ac:dyDescent="0.25">
      <c r="A690" t="str">
        <f t="shared" si="21"/>
        <v>15</v>
      </c>
      <c r="B690" t="str">
        <f>"15.17"</f>
        <v>15.17</v>
      </c>
      <c r="C690" t="s">
        <v>617</v>
      </c>
    </row>
    <row r="691" spans="1:3" x14ac:dyDescent="0.25">
      <c r="A691" t="str">
        <f t="shared" si="21"/>
        <v>15</v>
      </c>
      <c r="B691" t="str">
        <f>"15.1701"</f>
        <v>15.1701</v>
      </c>
      <c r="C691" t="s">
        <v>618</v>
      </c>
    </row>
    <row r="692" spans="1:3" x14ac:dyDescent="0.25">
      <c r="A692" t="str">
        <f t="shared" si="21"/>
        <v>15</v>
      </c>
      <c r="B692" t="str">
        <f>"15.1702"</f>
        <v>15.1702</v>
      </c>
      <c r="C692" t="s">
        <v>619</v>
      </c>
    </row>
    <row r="693" spans="1:3" x14ac:dyDescent="0.25">
      <c r="A693" t="str">
        <f t="shared" si="21"/>
        <v>15</v>
      </c>
      <c r="B693" t="str">
        <f>"15.1703"</f>
        <v>15.1703</v>
      </c>
      <c r="C693" t="s">
        <v>557</v>
      </c>
    </row>
    <row r="694" spans="1:3" x14ac:dyDescent="0.25">
      <c r="A694" t="str">
        <f t="shared" si="21"/>
        <v>15</v>
      </c>
      <c r="B694" t="str">
        <f>"15.1704"</f>
        <v>15.1704</v>
      </c>
      <c r="C694" t="s">
        <v>620</v>
      </c>
    </row>
    <row r="695" spans="1:3" x14ac:dyDescent="0.25">
      <c r="A695" t="str">
        <f t="shared" si="21"/>
        <v>15</v>
      </c>
      <c r="B695" t="str">
        <f>"15.1705"</f>
        <v>15.1705</v>
      </c>
      <c r="C695" t="s">
        <v>621</v>
      </c>
    </row>
    <row r="696" spans="1:3" x14ac:dyDescent="0.25">
      <c r="A696" t="str">
        <f t="shared" si="21"/>
        <v>15</v>
      </c>
      <c r="B696" t="str">
        <f>"15.1706"</f>
        <v>15.1706</v>
      </c>
      <c r="C696" t="s">
        <v>622</v>
      </c>
    </row>
    <row r="697" spans="1:3" x14ac:dyDescent="0.25">
      <c r="A697" t="str">
        <f t="shared" si="21"/>
        <v>15</v>
      </c>
      <c r="B697" t="str">
        <f>"15.1799"</f>
        <v>15.1799</v>
      </c>
      <c r="C697" t="s">
        <v>623</v>
      </c>
    </row>
    <row r="698" spans="1:3" x14ac:dyDescent="0.25">
      <c r="A698" t="str">
        <f t="shared" si="21"/>
        <v>15</v>
      </c>
      <c r="B698" t="str">
        <f>"15.99"</f>
        <v>15.99</v>
      </c>
      <c r="C698" t="s">
        <v>624</v>
      </c>
    </row>
    <row r="699" spans="1:3" x14ac:dyDescent="0.25">
      <c r="A699" t="str">
        <f t="shared" si="21"/>
        <v>15</v>
      </c>
      <c r="B699" t="str">
        <f>"15.9999"</f>
        <v>15.9999</v>
      </c>
      <c r="C699" t="s">
        <v>624</v>
      </c>
    </row>
    <row r="700" spans="1:3" x14ac:dyDescent="0.25">
      <c r="A700" t="str">
        <f>"16"</f>
        <v>16</v>
      </c>
      <c r="B700" t="str">
        <f>"16"</f>
        <v>16</v>
      </c>
      <c r="C700" t="s">
        <v>625</v>
      </c>
    </row>
    <row r="701" spans="1:3" x14ac:dyDescent="0.25">
      <c r="A701" t="str">
        <f t="shared" ref="A701:A732" si="22">"16"</f>
        <v>16</v>
      </c>
      <c r="B701" t="str">
        <f>"16.01"</f>
        <v>16.01</v>
      </c>
      <c r="C701" t="s">
        <v>626</v>
      </c>
    </row>
    <row r="702" spans="1:3" x14ac:dyDescent="0.25">
      <c r="A702" t="str">
        <f t="shared" si="22"/>
        <v>16</v>
      </c>
      <c r="B702" t="str">
        <f>"16.0101"</f>
        <v>16.0101</v>
      </c>
      <c r="C702" t="s">
        <v>627</v>
      </c>
    </row>
    <row r="703" spans="1:3" x14ac:dyDescent="0.25">
      <c r="A703" t="str">
        <f t="shared" si="22"/>
        <v>16</v>
      </c>
      <c r="B703" t="str">
        <f>"16.0102"</f>
        <v>16.0102</v>
      </c>
      <c r="C703" t="s">
        <v>628</v>
      </c>
    </row>
    <row r="704" spans="1:3" x14ac:dyDescent="0.25">
      <c r="A704" t="str">
        <f t="shared" si="22"/>
        <v>16</v>
      </c>
      <c r="B704" t="str">
        <f>"16.0103"</f>
        <v>16.0103</v>
      </c>
      <c r="C704" t="s">
        <v>629</v>
      </c>
    </row>
    <row r="705" spans="1:3" x14ac:dyDescent="0.25">
      <c r="A705" t="str">
        <f t="shared" si="22"/>
        <v>16</v>
      </c>
      <c r="B705" t="str">
        <f>"16.0104"</f>
        <v>16.0104</v>
      </c>
      <c r="C705" t="s">
        <v>630</v>
      </c>
    </row>
    <row r="706" spans="1:3" x14ac:dyDescent="0.25">
      <c r="A706" t="str">
        <f t="shared" si="22"/>
        <v>16</v>
      </c>
      <c r="B706" t="str">
        <f>"16.0105"</f>
        <v>16.0105</v>
      </c>
      <c r="C706" t="s">
        <v>631</v>
      </c>
    </row>
    <row r="707" spans="1:3" x14ac:dyDescent="0.25">
      <c r="A707" t="str">
        <f t="shared" si="22"/>
        <v>16</v>
      </c>
      <c r="B707" t="str">
        <f>"16.0199"</f>
        <v>16.0199</v>
      </c>
      <c r="C707" t="s">
        <v>632</v>
      </c>
    </row>
    <row r="708" spans="1:3" x14ac:dyDescent="0.25">
      <c r="A708" t="str">
        <f t="shared" si="22"/>
        <v>16</v>
      </c>
      <c r="B708" t="str">
        <f>"16.02"</f>
        <v>16.02</v>
      </c>
      <c r="C708" t="s">
        <v>633</v>
      </c>
    </row>
    <row r="709" spans="1:3" x14ac:dyDescent="0.25">
      <c r="A709" t="str">
        <f t="shared" si="22"/>
        <v>16</v>
      </c>
      <c r="B709" t="str">
        <f>"16.0201"</f>
        <v>16.0201</v>
      </c>
      <c r="C709" t="s">
        <v>633</v>
      </c>
    </row>
    <row r="710" spans="1:3" x14ac:dyDescent="0.25">
      <c r="A710" t="str">
        <f t="shared" si="22"/>
        <v>16</v>
      </c>
      <c r="B710" t="str">
        <f>"16.03"</f>
        <v>16.03</v>
      </c>
      <c r="C710" t="s">
        <v>634</v>
      </c>
    </row>
    <row r="711" spans="1:3" x14ac:dyDescent="0.25">
      <c r="A711" t="str">
        <f t="shared" si="22"/>
        <v>16</v>
      </c>
      <c r="B711" t="str">
        <f>"16.0300"</f>
        <v>16.0300</v>
      </c>
      <c r="C711" t="s">
        <v>635</v>
      </c>
    </row>
    <row r="712" spans="1:3" x14ac:dyDescent="0.25">
      <c r="A712" t="str">
        <f t="shared" si="22"/>
        <v>16</v>
      </c>
      <c r="B712" t="str">
        <f>"16.0301"</f>
        <v>16.0301</v>
      </c>
      <c r="C712" t="s">
        <v>636</v>
      </c>
    </row>
    <row r="713" spans="1:3" x14ac:dyDescent="0.25">
      <c r="A713" t="str">
        <f t="shared" si="22"/>
        <v>16</v>
      </c>
      <c r="B713" t="str">
        <f>"16.0302"</f>
        <v>16.0302</v>
      </c>
      <c r="C713" t="s">
        <v>637</v>
      </c>
    </row>
    <row r="714" spans="1:3" x14ac:dyDescent="0.25">
      <c r="A714" t="str">
        <f t="shared" si="22"/>
        <v>16</v>
      </c>
      <c r="B714" t="str">
        <f>"16.0303"</f>
        <v>16.0303</v>
      </c>
      <c r="C714" t="s">
        <v>638</v>
      </c>
    </row>
    <row r="715" spans="1:3" x14ac:dyDescent="0.25">
      <c r="A715" t="str">
        <f t="shared" si="22"/>
        <v>16</v>
      </c>
      <c r="B715" t="str">
        <f>"16.0304"</f>
        <v>16.0304</v>
      </c>
      <c r="C715" t="s">
        <v>639</v>
      </c>
    </row>
    <row r="716" spans="1:3" x14ac:dyDescent="0.25">
      <c r="A716" t="str">
        <f t="shared" si="22"/>
        <v>16</v>
      </c>
      <c r="B716" t="str">
        <f>"16.0399"</f>
        <v>16.0399</v>
      </c>
      <c r="C716" t="s">
        <v>640</v>
      </c>
    </row>
    <row r="717" spans="1:3" x14ac:dyDescent="0.25">
      <c r="A717" t="str">
        <f t="shared" si="22"/>
        <v>16</v>
      </c>
      <c r="B717" t="str">
        <f>"16.04"</f>
        <v>16.04</v>
      </c>
      <c r="C717" t="s">
        <v>641</v>
      </c>
    </row>
    <row r="718" spans="1:3" x14ac:dyDescent="0.25">
      <c r="A718" t="str">
        <f t="shared" si="22"/>
        <v>16</v>
      </c>
      <c r="B718" t="str">
        <f>"16.0400"</f>
        <v>16.0400</v>
      </c>
      <c r="C718" t="s">
        <v>642</v>
      </c>
    </row>
    <row r="719" spans="1:3" x14ac:dyDescent="0.25">
      <c r="A719" t="str">
        <f t="shared" si="22"/>
        <v>16</v>
      </c>
      <c r="B719" t="str">
        <f>"16.0401"</f>
        <v>16.0401</v>
      </c>
      <c r="C719" t="s">
        <v>643</v>
      </c>
    </row>
    <row r="720" spans="1:3" x14ac:dyDescent="0.25">
      <c r="A720" t="str">
        <f t="shared" si="22"/>
        <v>16</v>
      </c>
      <c r="B720" t="str">
        <f>"16.0402"</f>
        <v>16.0402</v>
      </c>
      <c r="C720" t="s">
        <v>644</v>
      </c>
    </row>
    <row r="721" spans="1:3" x14ac:dyDescent="0.25">
      <c r="A721" t="str">
        <f t="shared" si="22"/>
        <v>16</v>
      </c>
      <c r="B721" t="str">
        <f>"16.0404"</f>
        <v>16.0404</v>
      </c>
      <c r="C721" t="s">
        <v>645</v>
      </c>
    </row>
    <row r="722" spans="1:3" x14ac:dyDescent="0.25">
      <c r="A722" t="str">
        <f t="shared" si="22"/>
        <v>16</v>
      </c>
      <c r="B722" t="str">
        <f>"16.0405"</f>
        <v>16.0405</v>
      </c>
      <c r="C722" t="s">
        <v>646</v>
      </c>
    </row>
    <row r="723" spans="1:3" x14ac:dyDescent="0.25">
      <c r="A723" t="str">
        <f t="shared" si="22"/>
        <v>16</v>
      </c>
      <c r="B723" t="str">
        <f>"16.0406"</f>
        <v>16.0406</v>
      </c>
      <c r="C723" t="s">
        <v>647</v>
      </c>
    </row>
    <row r="724" spans="1:3" x14ac:dyDescent="0.25">
      <c r="A724" t="str">
        <f t="shared" si="22"/>
        <v>16</v>
      </c>
      <c r="B724" t="str">
        <f>"16.0407"</f>
        <v>16.0407</v>
      </c>
      <c r="C724" t="s">
        <v>648</v>
      </c>
    </row>
    <row r="725" spans="1:3" x14ac:dyDescent="0.25">
      <c r="A725" t="str">
        <f t="shared" si="22"/>
        <v>16</v>
      </c>
      <c r="B725" t="str">
        <f>"16.0408"</f>
        <v>16.0408</v>
      </c>
      <c r="C725" t="s">
        <v>649</v>
      </c>
    </row>
    <row r="726" spans="1:3" x14ac:dyDescent="0.25">
      <c r="A726" t="str">
        <f t="shared" si="22"/>
        <v>16</v>
      </c>
      <c r="B726" t="str">
        <f>"16.0409"</f>
        <v>16.0409</v>
      </c>
      <c r="C726" t="s">
        <v>650</v>
      </c>
    </row>
    <row r="727" spans="1:3" x14ac:dyDescent="0.25">
      <c r="A727" t="str">
        <f t="shared" si="22"/>
        <v>16</v>
      </c>
      <c r="B727" t="str">
        <f>"16.0410"</f>
        <v>16.0410</v>
      </c>
      <c r="C727" t="s">
        <v>651</v>
      </c>
    </row>
    <row r="728" spans="1:3" x14ac:dyDescent="0.25">
      <c r="A728" t="str">
        <f t="shared" si="22"/>
        <v>16</v>
      </c>
      <c r="B728" t="str">
        <f>"16.0499"</f>
        <v>16.0499</v>
      </c>
      <c r="C728" t="s">
        <v>652</v>
      </c>
    </row>
    <row r="729" spans="1:3" x14ac:dyDescent="0.25">
      <c r="A729" t="str">
        <f t="shared" si="22"/>
        <v>16</v>
      </c>
      <c r="B729" t="str">
        <f>"16.05"</f>
        <v>16.05</v>
      </c>
      <c r="C729" t="s">
        <v>653</v>
      </c>
    </row>
    <row r="730" spans="1:3" x14ac:dyDescent="0.25">
      <c r="A730" t="str">
        <f t="shared" si="22"/>
        <v>16</v>
      </c>
      <c r="B730" t="str">
        <f>"16.0500"</f>
        <v>16.0500</v>
      </c>
      <c r="C730" t="s">
        <v>654</v>
      </c>
    </row>
    <row r="731" spans="1:3" x14ac:dyDescent="0.25">
      <c r="A731" t="str">
        <f t="shared" si="22"/>
        <v>16</v>
      </c>
      <c r="B731" t="str">
        <f>"16.0501"</f>
        <v>16.0501</v>
      </c>
      <c r="C731" t="s">
        <v>655</v>
      </c>
    </row>
    <row r="732" spans="1:3" x14ac:dyDescent="0.25">
      <c r="A732" t="str">
        <f t="shared" si="22"/>
        <v>16</v>
      </c>
      <c r="B732" t="str">
        <f>"16.0502"</f>
        <v>16.0502</v>
      </c>
      <c r="C732" t="s">
        <v>656</v>
      </c>
    </row>
    <row r="733" spans="1:3" x14ac:dyDescent="0.25">
      <c r="A733" t="str">
        <f t="shared" ref="A733:A764" si="23">"16"</f>
        <v>16</v>
      </c>
      <c r="B733" t="str">
        <f>"16.0503"</f>
        <v>16.0503</v>
      </c>
      <c r="C733" t="s">
        <v>657</v>
      </c>
    </row>
    <row r="734" spans="1:3" x14ac:dyDescent="0.25">
      <c r="A734" t="str">
        <f t="shared" si="23"/>
        <v>16</v>
      </c>
      <c r="B734" t="str">
        <f>"16.0504"</f>
        <v>16.0504</v>
      </c>
      <c r="C734" t="s">
        <v>658</v>
      </c>
    </row>
    <row r="735" spans="1:3" x14ac:dyDescent="0.25">
      <c r="A735" t="str">
        <f t="shared" si="23"/>
        <v>16</v>
      </c>
      <c r="B735" t="str">
        <f>"16.0505"</f>
        <v>16.0505</v>
      </c>
      <c r="C735" t="s">
        <v>659</v>
      </c>
    </row>
    <row r="736" spans="1:3" x14ac:dyDescent="0.25">
      <c r="A736" t="str">
        <f t="shared" si="23"/>
        <v>16</v>
      </c>
      <c r="B736" t="str">
        <f>"16.0506"</f>
        <v>16.0506</v>
      </c>
      <c r="C736" t="s">
        <v>660</v>
      </c>
    </row>
    <row r="737" spans="1:3" x14ac:dyDescent="0.25">
      <c r="A737" t="str">
        <f t="shared" si="23"/>
        <v>16</v>
      </c>
      <c r="B737" t="str">
        <f>"16.0599"</f>
        <v>16.0599</v>
      </c>
      <c r="C737" t="s">
        <v>661</v>
      </c>
    </row>
    <row r="738" spans="1:3" x14ac:dyDescent="0.25">
      <c r="A738" t="str">
        <f t="shared" si="23"/>
        <v>16</v>
      </c>
      <c r="B738" t="str">
        <f>"16.06"</f>
        <v>16.06</v>
      </c>
      <c r="C738" t="s">
        <v>662</v>
      </c>
    </row>
    <row r="739" spans="1:3" x14ac:dyDescent="0.25">
      <c r="A739" t="str">
        <f t="shared" si="23"/>
        <v>16</v>
      </c>
      <c r="B739" t="str">
        <f>"16.0601"</f>
        <v>16.0601</v>
      </c>
      <c r="C739" t="s">
        <v>662</v>
      </c>
    </row>
    <row r="740" spans="1:3" x14ac:dyDescent="0.25">
      <c r="A740" t="str">
        <f t="shared" si="23"/>
        <v>16</v>
      </c>
      <c r="B740" t="str">
        <f>"16.07"</f>
        <v>16.07</v>
      </c>
      <c r="C740" t="s">
        <v>663</v>
      </c>
    </row>
    <row r="741" spans="1:3" x14ac:dyDescent="0.25">
      <c r="A741" t="str">
        <f t="shared" si="23"/>
        <v>16</v>
      </c>
      <c r="B741" t="str">
        <f>"16.0700"</f>
        <v>16.0700</v>
      </c>
      <c r="C741" t="s">
        <v>664</v>
      </c>
    </row>
    <row r="742" spans="1:3" x14ac:dyDescent="0.25">
      <c r="A742" t="str">
        <f t="shared" si="23"/>
        <v>16</v>
      </c>
      <c r="B742" t="str">
        <f>"16.0701"</f>
        <v>16.0701</v>
      </c>
      <c r="C742" t="s">
        <v>665</v>
      </c>
    </row>
    <row r="743" spans="1:3" x14ac:dyDescent="0.25">
      <c r="A743" t="str">
        <f t="shared" si="23"/>
        <v>16</v>
      </c>
      <c r="B743" t="str">
        <f>"16.0702"</f>
        <v>16.0702</v>
      </c>
      <c r="C743" t="s">
        <v>666</v>
      </c>
    </row>
    <row r="744" spans="1:3" x14ac:dyDescent="0.25">
      <c r="A744" t="str">
        <f t="shared" si="23"/>
        <v>16</v>
      </c>
      <c r="B744" t="str">
        <f>"16.0704"</f>
        <v>16.0704</v>
      </c>
      <c r="C744" t="s">
        <v>667</v>
      </c>
    </row>
    <row r="745" spans="1:3" x14ac:dyDescent="0.25">
      <c r="A745" t="str">
        <f t="shared" si="23"/>
        <v>16</v>
      </c>
      <c r="B745" t="str">
        <f>"16.0705"</f>
        <v>16.0705</v>
      </c>
      <c r="C745" t="s">
        <v>668</v>
      </c>
    </row>
    <row r="746" spans="1:3" x14ac:dyDescent="0.25">
      <c r="A746" t="str">
        <f t="shared" si="23"/>
        <v>16</v>
      </c>
      <c r="B746" t="str">
        <f>"16.0706"</f>
        <v>16.0706</v>
      </c>
      <c r="C746" t="s">
        <v>669</v>
      </c>
    </row>
    <row r="747" spans="1:3" x14ac:dyDescent="0.25">
      <c r="A747" t="str">
        <f t="shared" si="23"/>
        <v>16</v>
      </c>
      <c r="B747" t="str">
        <f>"16.0707"</f>
        <v>16.0707</v>
      </c>
      <c r="C747" t="s">
        <v>670</v>
      </c>
    </row>
    <row r="748" spans="1:3" x14ac:dyDescent="0.25">
      <c r="A748" t="str">
        <f t="shared" si="23"/>
        <v>16</v>
      </c>
      <c r="B748" t="str">
        <f>"16.0799"</f>
        <v>16.0799</v>
      </c>
      <c r="C748" t="s">
        <v>671</v>
      </c>
    </row>
    <row r="749" spans="1:3" x14ac:dyDescent="0.25">
      <c r="A749" t="str">
        <f t="shared" si="23"/>
        <v>16</v>
      </c>
      <c r="B749" t="str">
        <f>"16.08"</f>
        <v>16.08</v>
      </c>
      <c r="C749" t="s">
        <v>672</v>
      </c>
    </row>
    <row r="750" spans="1:3" x14ac:dyDescent="0.25">
      <c r="A750" t="str">
        <f t="shared" si="23"/>
        <v>16</v>
      </c>
      <c r="B750" t="str">
        <f>"16.0801"</f>
        <v>16.0801</v>
      </c>
      <c r="C750" t="s">
        <v>673</v>
      </c>
    </row>
    <row r="751" spans="1:3" x14ac:dyDescent="0.25">
      <c r="A751" t="str">
        <f t="shared" si="23"/>
        <v>16</v>
      </c>
      <c r="B751" t="str">
        <f>"16.09"</f>
        <v>16.09</v>
      </c>
      <c r="C751" t="s">
        <v>674</v>
      </c>
    </row>
    <row r="752" spans="1:3" x14ac:dyDescent="0.25">
      <c r="A752" t="str">
        <f t="shared" si="23"/>
        <v>16</v>
      </c>
      <c r="B752" t="str">
        <f>"16.0900"</f>
        <v>16.0900</v>
      </c>
      <c r="C752" t="s">
        <v>675</v>
      </c>
    </row>
    <row r="753" spans="1:3" x14ac:dyDescent="0.25">
      <c r="A753" t="str">
        <f t="shared" si="23"/>
        <v>16</v>
      </c>
      <c r="B753" t="str">
        <f>"16.0901"</f>
        <v>16.0901</v>
      </c>
      <c r="C753" t="s">
        <v>676</v>
      </c>
    </row>
    <row r="754" spans="1:3" x14ac:dyDescent="0.25">
      <c r="A754" t="str">
        <f t="shared" si="23"/>
        <v>16</v>
      </c>
      <c r="B754" t="str">
        <f>"16.0902"</f>
        <v>16.0902</v>
      </c>
      <c r="C754" t="s">
        <v>677</v>
      </c>
    </row>
    <row r="755" spans="1:3" x14ac:dyDescent="0.25">
      <c r="A755" t="str">
        <f t="shared" si="23"/>
        <v>16</v>
      </c>
      <c r="B755" t="str">
        <f>"16.0904"</f>
        <v>16.0904</v>
      </c>
      <c r="C755" t="s">
        <v>678</v>
      </c>
    </row>
    <row r="756" spans="1:3" x14ac:dyDescent="0.25">
      <c r="A756" t="str">
        <f t="shared" si="23"/>
        <v>16</v>
      </c>
      <c r="B756" t="str">
        <f>"16.0905"</f>
        <v>16.0905</v>
      </c>
      <c r="C756" t="s">
        <v>679</v>
      </c>
    </row>
    <row r="757" spans="1:3" x14ac:dyDescent="0.25">
      <c r="A757" t="str">
        <f t="shared" si="23"/>
        <v>16</v>
      </c>
      <c r="B757" t="str">
        <f>"16.0906"</f>
        <v>16.0906</v>
      </c>
      <c r="C757" t="s">
        <v>680</v>
      </c>
    </row>
    <row r="758" spans="1:3" x14ac:dyDescent="0.25">
      <c r="A758" t="str">
        <f t="shared" si="23"/>
        <v>16</v>
      </c>
      <c r="B758" t="str">
        <f>"16.0907"</f>
        <v>16.0907</v>
      </c>
      <c r="C758" t="s">
        <v>681</v>
      </c>
    </row>
    <row r="759" spans="1:3" x14ac:dyDescent="0.25">
      <c r="A759" t="str">
        <f t="shared" si="23"/>
        <v>16</v>
      </c>
      <c r="B759" t="str">
        <f>"16.0908"</f>
        <v>16.0908</v>
      </c>
      <c r="C759" t="s">
        <v>682</v>
      </c>
    </row>
    <row r="760" spans="1:3" x14ac:dyDescent="0.25">
      <c r="A760" t="str">
        <f t="shared" si="23"/>
        <v>16</v>
      </c>
      <c r="B760" t="str">
        <f>"16.0999"</f>
        <v>16.0999</v>
      </c>
      <c r="C760" t="s">
        <v>683</v>
      </c>
    </row>
    <row r="761" spans="1:3" x14ac:dyDescent="0.25">
      <c r="A761" t="str">
        <f t="shared" si="23"/>
        <v>16</v>
      </c>
      <c r="B761" t="str">
        <f>"16.10"</f>
        <v>16.10</v>
      </c>
      <c r="C761" t="s">
        <v>684</v>
      </c>
    </row>
    <row r="762" spans="1:3" x14ac:dyDescent="0.25">
      <c r="A762" t="str">
        <f t="shared" si="23"/>
        <v>16</v>
      </c>
      <c r="B762" t="str">
        <f>"16.1001"</f>
        <v>16.1001</v>
      </c>
      <c r="C762" t="s">
        <v>684</v>
      </c>
    </row>
    <row r="763" spans="1:3" x14ac:dyDescent="0.25">
      <c r="A763" t="str">
        <f t="shared" si="23"/>
        <v>16</v>
      </c>
      <c r="B763" t="str">
        <f>"16.11"</f>
        <v>16.11</v>
      </c>
      <c r="C763" t="s">
        <v>685</v>
      </c>
    </row>
    <row r="764" spans="1:3" x14ac:dyDescent="0.25">
      <c r="A764" t="str">
        <f t="shared" si="23"/>
        <v>16</v>
      </c>
      <c r="B764" t="str">
        <f>"16.1100"</f>
        <v>16.1100</v>
      </c>
      <c r="C764" t="s">
        <v>686</v>
      </c>
    </row>
    <row r="765" spans="1:3" x14ac:dyDescent="0.25">
      <c r="A765" t="str">
        <f t="shared" ref="A765:A796" si="24">"16"</f>
        <v>16</v>
      </c>
      <c r="B765" t="str">
        <f>"16.1101"</f>
        <v>16.1101</v>
      </c>
      <c r="C765" t="s">
        <v>687</v>
      </c>
    </row>
    <row r="766" spans="1:3" x14ac:dyDescent="0.25">
      <c r="A766" t="str">
        <f t="shared" si="24"/>
        <v>16</v>
      </c>
      <c r="B766" t="str">
        <f>"16.1102"</f>
        <v>16.1102</v>
      </c>
      <c r="C766" t="s">
        <v>688</v>
      </c>
    </row>
    <row r="767" spans="1:3" x14ac:dyDescent="0.25">
      <c r="A767" t="str">
        <f t="shared" si="24"/>
        <v>16</v>
      </c>
      <c r="B767" t="str">
        <f>"16.1103"</f>
        <v>16.1103</v>
      </c>
      <c r="C767" t="s">
        <v>689</v>
      </c>
    </row>
    <row r="768" spans="1:3" x14ac:dyDescent="0.25">
      <c r="A768" t="str">
        <f t="shared" si="24"/>
        <v>16</v>
      </c>
      <c r="B768" t="str">
        <f>"16.1199"</f>
        <v>16.1199</v>
      </c>
      <c r="C768" t="s">
        <v>690</v>
      </c>
    </row>
    <row r="769" spans="1:3" x14ac:dyDescent="0.25">
      <c r="A769" t="str">
        <f t="shared" si="24"/>
        <v>16</v>
      </c>
      <c r="B769" t="str">
        <f>"16.12"</f>
        <v>16.12</v>
      </c>
      <c r="C769" t="s">
        <v>691</v>
      </c>
    </row>
    <row r="770" spans="1:3" x14ac:dyDescent="0.25">
      <c r="A770" t="str">
        <f t="shared" si="24"/>
        <v>16</v>
      </c>
      <c r="B770" t="str">
        <f>"16.1200"</f>
        <v>16.1200</v>
      </c>
      <c r="C770" t="s">
        <v>692</v>
      </c>
    </row>
    <row r="771" spans="1:3" x14ac:dyDescent="0.25">
      <c r="A771" t="str">
        <f t="shared" si="24"/>
        <v>16</v>
      </c>
      <c r="B771" t="str">
        <f>"16.1202"</f>
        <v>16.1202</v>
      </c>
      <c r="C771" t="s">
        <v>693</v>
      </c>
    </row>
    <row r="772" spans="1:3" x14ac:dyDescent="0.25">
      <c r="A772" t="str">
        <f t="shared" si="24"/>
        <v>16</v>
      </c>
      <c r="B772" t="str">
        <f>"16.1203"</f>
        <v>16.1203</v>
      </c>
      <c r="C772" t="s">
        <v>694</v>
      </c>
    </row>
    <row r="773" spans="1:3" x14ac:dyDescent="0.25">
      <c r="A773" t="str">
        <f t="shared" si="24"/>
        <v>16</v>
      </c>
      <c r="B773" t="str">
        <f>"16.1299"</f>
        <v>16.1299</v>
      </c>
      <c r="C773" t="s">
        <v>695</v>
      </c>
    </row>
    <row r="774" spans="1:3" x14ac:dyDescent="0.25">
      <c r="A774" t="str">
        <f t="shared" si="24"/>
        <v>16</v>
      </c>
      <c r="B774" t="str">
        <f>"16.13"</f>
        <v>16.13</v>
      </c>
      <c r="C774" t="s">
        <v>696</v>
      </c>
    </row>
    <row r="775" spans="1:3" x14ac:dyDescent="0.25">
      <c r="A775" t="str">
        <f t="shared" si="24"/>
        <v>16</v>
      </c>
      <c r="B775" t="str">
        <f>"16.1301"</f>
        <v>16.1301</v>
      </c>
      <c r="C775" t="s">
        <v>696</v>
      </c>
    </row>
    <row r="776" spans="1:3" x14ac:dyDescent="0.25">
      <c r="A776" t="str">
        <f t="shared" si="24"/>
        <v>16</v>
      </c>
      <c r="B776" t="str">
        <f>"16.14"</f>
        <v>16.14</v>
      </c>
      <c r="C776" t="s">
        <v>697</v>
      </c>
    </row>
    <row r="777" spans="1:3" x14ac:dyDescent="0.25">
      <c r="A777" t="str">
        <f t="shared" si="24"/>
        <v>16</v>
      </c>
      <c r="B777" t="str">
        <f>"16.1400"</f>
        <v>16.1400</v>
      </c>
      <c r="C777" t="s">
        <v>698</v>
      </c>
    </row>
    <row r="778" spans="1:3" x14ac:dyDescent="0.25">
      <c r="A778" t="str">
        <f t="shared" si="24"/>
        <v>16</v>
      </c>
      <c r="B778" t="str">
        <f>"16.1401"</f>
        <v>16.1401</v>
      </c>
      <c r="C778" t="s">
        <v>699</v>
      </c>
    </row>
    <row r="779" spans="1:3" x14ac:dyDescent="0.25">
      <c r="A779" t="str">
        <f t="shared" si="24"/>
        <v>16</v>
      </c>
      <c r="B779" t="str">
        <f>"16.1402"</f>
        <v>16.1402</v>
      </c>
      <c r="C779" t="s">
        <v>700</v>
      </c>
    </row>
    <row r="780" spans="1:3" x14ac:dyDescent="0.25">
      <c r="A780" t="str">
        <f t="shared" si="24"/>
        <v>16</v>
      </c>
      <c r="B780" t="str">
        <f>"16.1403"</f>
        <v>16.1403</v>
      </c>
      <c r="C780" t="s">
        <v>701</v>
      </c>
    </row>
    <row r="781" spans="1:3" x14ac:dyDescent="0.25">
      <c r="A781" t="str">
        <f t="shared" si="24"/>
        <v>16</v>
      </c>
      <c r="B781" t="str">
        <f>"16.1404"</f>
        <v>16.1404</v>
      </c>
      <c r="C781" t="s">
        <v>702</v>
      </c>
    </row>
    <row r="782" spans="1:3" x14ac:dyDescent="0.25">
      <c r="A782" t="str">
        <f t="shared" si="24"/>
        <v>16</v>
      </c>
      <c r="B782" t="str">
        <f>"16.1405"</f>
        <v>16.1405</v>
      </c>
      <c r="C782" t="s">
        <v>703</v>
      </c>
    </row>
    <row r="783" spans="1:3" x14ac:dyDescent="0.25">
      <c r="A783" t="str">
        <f t="shared" si="24"/>
        <v>16</v>
      </c>
      <c r="B783" t="str">
        <f>"16.1406"</f>
        <v>16.1406</v>
      </c>
      <c r="C783" t="s">
        <v>704</v>
      </c>
    </row>
    <row r="784" spans="1:3" x14ac:dyDescent="0.25">
      <c r="A784" t="str">
        <f t="shared" si="24"/>
        <v>16</v>
      </c>
      <c r="B784" t="str">
        <f>"16.1407"</f>
        <v>16.1407</v>
      </c>
      <c r="C784" t="s">
        <v>705</v>
      </c>
    </row>
    <row r="785" spans="1:3" x14ac:dyDescent="0.25">
      <c r="A785" t="str">
        <f t="shared" si="24"/>
        <v>16</v>
      </c>
      <c r="B785" t="str">
        <f>"16.1408"</f>
        <v>16.1408</v>
      </c>
      <c r="C785" t="s">
        <v>706</v>
      </c>
    </row>
    <row r="786" spans="1:3" x14ac:dyDescent="0.25">
      <c r="A786" t="str">
        <f t="shared" si="24"/>
        <v>16</v>
      </c>
      <c r="B786" t="str">
        <f>"16.1409"</f>
        <v>16.1409</v>
      </c>
      <c r="C786" t="s">
        <v>707</v>
      </c>
    </row>
    <row r="787" spans="1:3" x14ac:dyDescent="0.25">
      <c r="A787" t="str">
        <f t="shared" si="24"/>
        <v>16</v>
      </c>
      <c r="B787" t="str">
        <f>"16.1499"</f>
        <v>16.1499</v>
      </c>
      <c r="C787" t="s">
        <v>708</v>
      </c>
    </row>
    <row r="788" spans="1:3" x14ac:dyDescent="0.25">
      <c r="A788" t="str">
        <f t="shared" si="24"/>
        <v>16</v>
      </c>
      <c r="B788" t="str">
        <f>"16.15"</f>
        <v>16.15</v>
      </c>
      <c r="C788" t="s">
        <v>709</v>
      </c>
    </row>
    <row r="789" spans="1:3" x14ac:dyDescent="0.25">
      <c r="A789" t="str">
        <f t="shared" si="24"/>
        <v>16</v>
      </c>
      <c r="B789" t="str">
        <f>"16.1501"</f>
        <v>16.1501</v>
      </c>
      <c r="C789" t="s">
        <v>710</v>
      </c>
    </row>
    <row r="790" spans="1:3" x14ac:dyDescent="0.25">
      <c r="A790" t="str">
        <f t="shared" si="24"/>
        <v>16</v>
      </c>
      <c r="B790" t="str">
        <f>"16.1502"</f>
        <v>16.1502</v>
      </c>
      <c r="C790" t="s">
        <v>711</v>
      </c>
    </row>
    <row r="791" spans="1:3" x14ac:dyDescent="0.25">
      <c r="A791" t="str">
        <f t="shared" si="24"/>
        <v>16</v>
      </c>
      <c r="B791" t="str">
        <f>"16.1503"</f>
        <v>16.1503</v>
      </c>
      <c r="C791" t="s">
        <v>712</v>
      </c>
    </row>
    <row r="792" spans="1:3" x14ac:dyDescent="0.25">
      <c r="A792" t="str">
        <f t="shared" si="24"/>
        <v>16</v>
      </c>
      <c r="B792" t="str">
        <f>"16.1504"</f>
        <v>16.1504</v>
      </c>
      <c r="C792" t="s">
        <v>713</v>
      </c>
    </row>
    <row r="793" spans="1:3" x14ac:dyDescent="0.25">
      <c r="A793" t="str">
        <f t="shared" si="24"/>
        <v>16</v>
      </c>
      <c r="B793" t="str">
        <f>"16.1599"</f>
        <v>16.1599</v>
      </c>
      <c r="C793" t="s">
        <v>714</v>
      </c>
    </row>
    <row r="794" spans="1:3" x14ac:dyDescent="0.25">
      <c r="A794" t="str">
        <f t="shared" si="24"/>
        <v>16</v>
      </c>
      <c r="B794" t="str">
        <f>"16.16"</f>
        <v>16.16</v>
      </c>
      <c r="C794" t="s">
        <v>715</v>
      </c>
    </row>
    <row r="795" spans="1:3" x14ac:dyDescent="0.25">
      <c r="A795" t="str">
        <f t="shared" si="24"/>
        <v>16</v>
      </c>
      <c r="B795" t="str">
        <f>"16.1601"</f>
        <v>16.1601</v>
      </c>
      <c r="C795" t="s">
        <v>716</v>
      </c>
    </row>
    <row r="796" spans="1:3" x14ac:dyDescent="0.25">
      <c r="A796" t="str">
        <f t="shared" si="24"/>
        <v>16</v>
      </c>
      <c r="B796" t="str">
        <f>"16.1602"</f>
        <v>16.1602</v>
      </c>
      <c r="C796" t="s">
        <v>717</v>
      </c>
    </row>
    <row r="797" spans="1:3" x14ac:dyDescent="0.25">
      <c r="A797" t="str">
        <f t="shared" ref="A797:A806" si="25">"16"</f>
        <v>16</v>
      </c>
      <c r="B797" t="str">
        <f>"16.1603"</f>
        <v>16.1603</v>
      </c>
      <c r="C797" t="s">
        <v>718</v>
      </c>
    </row>
    <row r="798" spans="1:3" x14ac:dyDescent="0.25">
      <c r="A798" t="str">
        <f t="shared" si="25"/>
        <v>16</v>
      </c>
      <c r="B798" t="str">
        <f>"16.1699"</f>
        <v>16.1699</v>
      </c>
      <c r="C798" t="s">
        <v>719</v>
      </c>
    </row>
    <row r="799" spans="1:3" x14ac:dyDescent="0.25">
      <c r="A799" t="str">
        <f t="shared" si="25"/>
        <v>16</v>
      </c>
      <c r="B799" t="str">
        <f>"16.17"</f>
        <v>16.17</v>
      </c>
      <c r="C799" t="s">
        <v>720</v>
      </c>
    </row>
    <row r="800" spans="1:3" x14ac:dyDescent="0.25">
      <c r="A800" t="str">
        <f t="shared" si="25"/>
        <v>16</v>
      </c>
      <c r="B800" t="str">
        <f>"16.1701"</f>
        <v>16.1701</v>
      </c>
      <c r="C800" t="s">
        <v>721</v>
      </c>
    </row>
    <row r="801" spans="1:3" x14ac:dyDescent="0.25">
      <c r="A801" t="str">
        <f t="shared" si="25"/>
        <v>16</v>
      </c>
      <c r="B801" t="str">
        <f>"16.1702"</f>
        <v>16.1702</v>
      </c>
      <c r="C801" t="s">
        <v>31</v>
      </c>
    </row>
    <row r="802" spans="1:3" x14ac:dyDescent="0.25">
      <c r="A802" t="str">
        <f t="shared" si="25"/>
        <v>16</v>
      </c>
      <c r="B802" t="str">
        <f>"16.1799"</f>
        <v>16.1799</v>
      </c>
      <c r="C802" t="s">
        <v>31</v>
      </c>
    </row>
    <row r="803" spans="1:3" x14ac:dyDescent="0.25">
      <c r="A803" t="str">
        <f t="shared" si="25"/>
        <v>16</v>
      </c>
      <c r="B803" t="str">
        <f>"16.18"</f>
        <v>16.18</v>
      </c>
      <c r="C803" t="s">
        <v>722</v>
      </c>
    </row>
    <row r="804" spans="1:3" x14ac:dyDescent="0.25">
      <c r="A804" t="str">
        <f t="shared" si="25"/>
        <v>16</v>
      </c>
      <c r="B804" t="str">
        <f>"16.1801"</f>
        <v>16.1801</v>
      </c>
      <c r="C804" t="s">
        <v>723</v>
      </c>
    </row>
    <row r="805" spans="1:3" x14ac:dyDescent="0.25">
      <c r="A805" t="str">
        <f t="shared" si="25"/>
        <v>16</v>
      </c>
      <c r="B805" t="str">
        <f>"16.99"</f>
        <v>16.99</v>
      </c>
      <c r="C805" t="s">
        <v>724</v>
      </c>
    </row>
    <row r="806" spans="1:3" x14ac:dyDescent="0.25">
      <c r="A806" t="str">
        <f t="shared" si="25"/>
        <v>16</v>
      </c>
      <c r="B806" t="str">
        <f>"16.9999"</f>
        <v>16.9999</v>
      </c>
      <c r="C806" t="s">
        <v>724</v>
      </c>
    </row>
    <row r="807" spans="1:3" x14ac:dyDescent="0.25">
      <c r="A807" t="str">
        <f>"19"</f>
        <v>19</v>
      </c>
      <c r="B807" t="str">
        <f>"19"</f>
        <v>19</v>
      </c>
      <c r="C807" t="s">
        <v>725</v>
      </c>
    </row>
    <row r="808" spans="1:3" x14ac:dyDescent="0.25">
      <c r="A808" t="str">
        <f t="shared" ref="A808:A854" si="26">"19"</f>
        <v>19</v>
      </c>
      <c r="B808" t="str">
        <f>"19.00"</f>
        <v>19.00</v>
      </c>
      <c r="C808" t="s">
        <v>726</v>
      </c>
    </row>
    <row r="809" spans="1:3" x14ac:dyDescent="0.25">
      <c r="A809" t="str">
        <f t="shared" si="26"/>
        <v>19</v>
      </c>
      <c r="B809" t="str">
        <f>"19.0000"</f>
        <v>19.0000</v>
      </c>
      <c r="C809" t="s">
        <v>726</v>
      </c>
    </row>
    <row r="810" spans="1:3" x14ac:dyDescent="0.25">
      <c r="A810" t="str">
        <f t="shared" si="26"/>
        <v>19</v>
      </c>
      <c r="B810" t="str">
        <f>"19.01"</f>
        <v>19.01</v>
      </c>
      <c r="C810" t="s">
        <v>727</v>
      </c>
    </row>
    <row r="811" spans="1:3" x14ac:dyDescent="0.25">
      <c r="A811" t="str">
        <f t="shared" si="26"/>
        <v>19</v>
      </c>
      <c r="B811" t="str">
        <f>"19.0101"</f>
        <v>19.0101</v>
      </c>
      <c r="C811" t="s">
        <v>727</v>
      </c>
    </row>
    <row r="812" spans="1:3" x14ac:dyDescent="0.25">
      <c r="A812" t="str">
        <f t="shared" si="26"/>
        <v>19</v>
      </c>
      <c r="B812" t="str">
        <f>"19.02"</f>
        <v>19.02</v>
      </c>
      <c r="C812" t="s">
        <v>728</v>
      </c>
    </row>
    <row r="813" spans="1:3" x14ac:dyDescent="0.25">
      <c r="A813" t="str">
        <f t="shared" si="26"/>
        <v>19</v>
      </c>
      <c r="B813" t="str">
        <f>"19.0201"</f>
        <v>19.0201</v>
      </c>
      <c r="C813" t="s">
        <v>729</v>
      </c>
    </row>
    <row r="814" spans="1:3" x14ac:dyDescent="0.25">
      <c r="A814" t="str">
        <f t="shared" si="26"/>
        <v>19</v>
      </c>
      <c r="B814" t="str">
        <f>"19.0202"</f>
        <v>19.0202</v>
      </c>
      <c r="C814" t="s">
        <v>730</v>
      </c>
    </row>
    <row r="815" spans="1:3" x14ac:dyDescent="0.25">
      <c r="A815" t="str">
        <f t="shared" si="26"/>
        <v>19</v>
      </c>
      <c r="B815" t="str">
        <f>"19.0203"</f>
        <v>19.0203</v>
      </c>
      <c r="C815" t="s">
        <v>731</v>
      </c>
    </row>
    <row r="816" spans="1:3" x14ac:dyDescent="0.25">
      <c r="A816" t="str">
        <f t="shared" si="26"/>
        <v>19</v>
      </c>
      <c r="B816" t="str">
        <f>"19.0299"</f>
        <v>19.0299</v>
      </c>
      <c r="C816" t="s">
        <v>732</v>
      </c>
    </row>
    <row r="817" spans="1:3" x14ac:dyDescent="0.25">
      <c r="A817" t="str">
        <f t="shared" si="26"/>
        <v>19</v>
      </c>
      <c r="B817" t="str">
        <f>"19.04"</f>
        <v>19.04</v>
      </c>
      <c r="C817" t="s">
        <v>733</v>
      </c>
    </row>
    <row r="818" spans="1:3" x14ac:dyDescent="0.25">
      <c r="A818" t="str">
        <f t="shared" si="26"/>
        <v>19</v>
      </c>
      <c r="B818" t="str">
        <f>"19.0401"</f>
        <v>19.0401</v>
      </c>
      <c r="C818" t="s">
        <v>734</v>
      </c>
    </row>
    <row r="819" spans="1:3" x14ac:dyDescent="0.25">
      <c r="A819" t="str">
        <f t="shared" si="26"/>
        <v>19</v>
      </c>
      <c r="B819" t="str">
        <f>"19.0402"</f>
        <v>19.0402</v>
      </c>
      <c r="C819" t="s">
        <v>735</v>
      </c>
    </row>
    <row r="820" spans="1:3" x14ac:dyDescent="0.25">
      <c r="A820" t="str">
        <f t="shared" si="26"/>
        <v>19</v>
      </c>
      <c r="B820" t="str">
        <f>"19.0403"</f>
        <v>19.0403</v>
      </c>
      <c r="C820" t="s">
        <v>736</v>
      </c>
    </row>
    <row r="821" spans="1:3" x14ac:dyDescent="0.25">
      <c r="A821" t="str">
        <f t="shared" si="26"/>
        <v>19</v>
      </c>
      <c r="B821" t="str">
        <f>"19.0499"</f>
        <v>19.0499</v>
      </c>
      <c r="C821" t="s">
        <v>737</v>
      </c>
    </row>
    <row r="822" spans="1:3" x14ac:dyDescent="0.25">
      <c r="A822" t="str">
        <f t="shared" si="26"/>
        <v>19</v>
      </c>
      <c r="B822" t="str">
        <f>"19.05"</f>
        <v>19.05</v>
      </c>
      <c r="C822" t="s">
        <v>738</v>
      </c>
    </row>
    <row r="823" spans="1:3" x14ac:dyDescent="0.25">
      <c r="A823" t="str">
        <f t="shared" si="26"/>
        <v>19</v>
      </c>
      <c r="B823" t="str">
        <f>"19.0501"</f>
        <v>19.0501</v>
      </c>
      <c r="C823" t="s">
        <v>739</v>
      </c>
    </row>
    <row r="824" spans="1:3" x14ac:dyDescent="0.25">
      <c r="A824" t="str">
        <f t="shared" si="26"/>
        <v>19</v>
      </c>
      <c r="B824" t="str">
        <f>"19.0504"</f>
        <v>19.0504</v>
      </c>
      <c r="C824" t="s">
        <v>740</v>
      </c>
    </row>
    <row r="825" spans="1:3" x14ac:dyDescent="0.25">
      <c r="A825" t="str">
        <f t="shared" si="26"/>
        <v>19</v>
      </c>
      <c r="B825" t="str">
        <f>"19.0505"</f>
        <v>19.0505</v>
      </c>
      <c r="C825" t="s">
        <v>741</v>
      </c>
    </row>
    <row r="826" spans="1:3" x14ac:dyDescent="0.25">
      <c r="A826" t="str">
        <f t="shared" si="26"/>
        <v>19</v>
      </c>
      <c r="B826" t="str">
        <f>"19.0599"</f>
        <v>19.0599</v>
      </c>
      <c r="C826" t="s">
        <v>742</v>
      </c>
    </row>
    <row r="827" spans="1:3" x14ac:dyDescent="0.25">
      <c r="A827" t="str">
        <f t="shared" si="26"/>
        <v>19</v>
      </c>
      <c r="B827" t="str">
        <f>"19.06"</f>
        <v>19.06</v>
      </c>
      <c r="C827" t="s">
        <v>743</v>
      </c>
    </row>
    <row r="828" spans="1:3" x14ac:dyDescent="0.25">
      <c r="A828" t="str">
        <f t="shared" si="26"/>
        <v>19</v>
      </c>
      <c r="B828" t="str">
        <f>"19.0601"</f>
        <v>19.0601</v>
      </c>
      <c r="C828" t="s">
        <v>744</v>
      </c>
    </row>
    <row r="829" spans="1:3" x14ac:dyDescent="0.25">
      <c r="A829" t="str">
        <f t="shared" si="26"/>
        <v>19</v>
      </c>
      <c r="B829" t="str">
        <f>"19.0604"</f>
        <v>19.0604</v>
      </c>
      <c r="C829" t="s">
        <v>745</v>
      </c>
    </row>
    <row r="830" spans="1:3" x14ac:dyDescent="0.25">
      <c r="A830" t="str">
        <f t="shared" si="26"/>
        <v>19</v>
      </c>
      <c r="B830" t="str">
        <f>"19.0605"</f>
        <v>19.0605</v>
      </c>
      <c r="C830" t="s">
        <v>746</v>
      </c>
    </row>
    <row r="831" spans="1:3" x14ac:dyDescent="0.25">
      <c r="A831" t="str">
        <f t="shared" si="26"/>
        <v>19</v>
      </c>
      <c r="B831" t="str">
        <f>"19.0699"</f>
        <v>19.0699</v>
      </c>
      <c r="C831" t="s">
        <v>747</v>
      </c>
    </row>
    <row r="832" spans="1:3" x14ac:dyDescent="0.25">
      <c r="A832" t="str">
        <f t="shared" si="26"/>
        <v>19</v>
      </c>
      <c r="B832" t="str">
        <f>"19.07"</f>
        <v>19.07</v>
      </c>
      <c r="C832" t="s">
        <v>748</v>
      </c>
    </row>
    <row r="833" spans="1:3" x14ac:dyDescent="0.25">
      <c r="A833" t="str">
        <f t="shared" si="26"/>
        <v>19</v>
      </c>
      <c r="B833" t="str">
        <f>"19.0701"</f>
        <v>19.0701</v>
      </c>
      <c r="C833" t="s">
        <v>749</v>
      </c>
    </row>
    <row r="834" spans="1:3" x14ac:dyDescent="0.25">
      <c r="A834" t="str">
        <f t="shared" si="26"/>
        <v>19</v>
      </c>
      <c r="B834" t="str">
        <f>"19.0702"</f>
        <v>19.0702</v>
      </c>
      <c r="C834" t="s">
        <v>750</v>
      </c>
    </row>
    <row r="835" spans="1:3" x14ac:dyDescent="0.25">
      <c r="A835" t="str">
        <f t="shared" si="26"/>
        <v>19</v>
      </c>
      <c r="B835" t="str">
        <f>"19.0704"</f>
        <v>19.0704</v>
      </c>
      <c r="C835" t="s">
        <v>751</v>
      </c>
    </row>
    <row r="836" spans="1:3" x14ac:dyDescent="0.25">
      <c r="A836" t="str">
        <f t="shared" si="26"/>
        <v>19</v>
      </c>
      <c r="B836" t="str">
        <f>"19.0706"</f>
        <v>19.0706</v>
      </c>
      <c r="C836" t="s">
        <v>752</v>
      </c>
    </row>
    <row r="837" spans="1:3" x14ac:dyDescent="0.25">
      <c r="A837" t="str">
        <f t="shared" si="26"/>
        <v>19</v>
      </c>
      <c r="B837" t="str">
        <f>"19.0707"</f>
        <v>19.0707</v>
      </c>
      <c r="C837" t="s">
        <v>753</v>
      </c>
    </row>
    <row r="838" spans="1:3" x14ac:dyDescent="0.25">
      <c r="A838" t="str">
        <f t="shared" si="26"/>
        <v>19</v>
      </c>
      <c r="B838" t="str">
        <f>"19.0708"</f>
        <v>19.0708</v>
      </c>
      <c r="C838" t="s">
        <v>754</v>
      </c>
    </row>
    <row r="839" spans="1:3" x14ac:dyDescent="0.25">
      <c r="A839" t="str">
        <f t="shared" si="26"/>
        <v>19</v>
      </c>
      <c r="B839" t="str">
        <f>"19.0709"</f>
        <v>19.0709</v>
      </c>
      <c r="C839" t="s">
        <v>755</v>
      </c>
    </row>
    <row r="840" spans="1:3" x14ac:dyDescent="0.25">
      <c r="A840" t="str">
        <f t="shared" si="26"/>
        <v>19</v>
      </c>
      <c r="B840" t="str">
        <f>"19.0710"</f>
        <v>19.0710</v>
      </c>
      <c r="C840" t="s">
        <v>756</v>
      </c>
    </row>
    <row r="841" spans="1:3" x14ac:dyDescent="0.25">
      <c r="A841" t="str">
        <f t="shared" si="26"/>
        <v>19</v>
      </c>
      <c r="B841" t="str">
        <f>"19.0711"</f>
        <v>19.0711</v>
      </c>
      <c r="C841" t="s">
        <v>757</v>
      </c>
    </row>
    <row r="842" spans="1:3" x14ac:dyDescent="0.25">
      <c r="A842" t="str">
        <f t="shared" si="26"/>
        <v>19</v>
      </c>
      <c r="B842" t="str">
        <f>"19.0712"</f>
        <v>19.0712</v>
      </c>
      <c r="C842" t="s">
        <v>758</v>
      </c>
    </row>
    <row r="843" spans="1:3" x14ac:dyDescent="0.25">
      <c r="A843" t="str">
        <f t="shared" si="26"/>
        <v>19</v>
      </c>
      <c r="B843" t="str">
        <f>"19.0799"</f>
        <v>19.0799</v>
      </c>
      <c r="C843" t="s">
        <v>759</v>
      </c>
    </row>
    <row r="844" spans="1:3" x14ac:dyDescent="0.25">
      <c r="A844" t="str">
        <f t="shared" si="26"/>
        <v>19</v>
      </c>
      <c r="B844" t="str">
        <f>"19.09"</f>
        <v>19.09</v>
      </c>
      <c r="C844" t="s">
        <v>760</v>
      </c>
    </row>
    <row r="845" spans="1:3" x14ac:dyDescent="0.25">
      <c r="A845" t="str">
        <f t="shared" si="26"/>
        <v>19</v>
      </c>
      <c r="B845" t="str">
        <f>"19.0901"</f>
        <v>19.0901</v>
      </c>
      <c r="C845" t="s">
        <v>761</v>
      </c>
    </row>
    <row r="846" spans="1:3" x14ac:dyDescent="0.25">
      <c r="A846" t="str">
        <f t="shared" si="26"/>
        <v>19</v>
      </c>
      <c r="B846" t="str">
        <f>"19.0902"</f>
        <v>19.0902</v>
      </c>
      <c r="C846" t="s">
        <v>762</v>
      </c>
    </row>
    <row r="847" spans="1:3" x14ac:dyDescent="0.25">
      <c r="A847" t="str">
        <f t="shared" si="26"/>
        <v>19</v>
      </c>
      <c r="B847" t="str">
        <f>"19.0904"</f>
        <v>19.0904</v>
      </c>
      <c r="C847" t="s">
        <v>763</v>
      </c>
    </row>
    <row r="848" spans="1:3" x14ac:dyDescent="0.25">
      <c r="A848" t="str">
        <f t="shared" si="26"/>
        <v>19</v>
      </c>
      <c r="B848" t="str">
        <f>"19.0905"</f>
        <v>19.0905</v>
      </c>
      <c r="C848" t="s">
        <v>764</v>
      </c>
    </row>
    <row r="849" spans="1:3" x14ac:dyDescent="0.25">
      <c r="A849" t="str">
        <f t="shared" si="26"/>
        <v>19</v>
      </c>
      <c r="B849" t="str">
        <f>"19.0906"</f>
        <v>19.0906</v>
      </c>
      <c r="C849" t="s">
        <v>765</v>
      </c>
    </row>
    <row r="850" spans="1:3" x14ac:dyDescent="0.25">
      <c r="A850" t="str">
        <f t="shared" si="26"/>
        <v>19</v>
      </c>
      <c r="B850" t="str">
        <f>"19.0999"</f>
        <v>19.0999</v>
      </c>
      <c r="C850" t="s">
        <v>766</v>
      </c>
    </row>
    <row r="851" spans="1:3" x14ac:dyDescent="0.25">
      <c r="A851" t="str">
        <f t="shared" si="26"/>
        <v>19</v>
      </c>
      <c r="B851" t="str">
        <f>"19.10"</f>
        <v>19.10</v>
      </c>
      <c r="C851" t="s">
        <v>726</v>
      </c>
    </row>
    <row r="852" spans="1:3" x14ac:dyDescent="0.25">
      <c r="A852" t="str">
        <f t="shared" si="26"/>
        <v>19</v>
      </c>
      <c r="B852" t="str">
        <f>"19.1001"</f>
        <v>19.1001</v>
      </c>
      <c r="C852" t="s">
        <v>726</v>
      </c>
    </row>
    <row r="853" spans="1:3" x14ac:dyDescent="0.25">
      <c r="A853" t="str">
        <f t="shared" si="26"/>
        <v>19</v>
      </c>
      <c r="B853" t="str">
        <f>"19.99"</f>
        <v>19.99</v>
      </c>
      <c r="C853" t="s">
        <v>767</v>
      </c>
    </row>
    <row r="854" spans="1:3" x14ac:dyDescent="0.25">
      <c r="A854" t="str">
        <f t="shared" si="26"/>
        <v>19</v>
      </c>
      <c r="B854" t="str">
        <f>"19.9999"</f>
        <v>19.9999</v>
      </c>
      <c r="C854" t="s">
        <v>767</v>
      </c>
    </row>
    <row r="855" spans="1:3" x14ac:dyDescent="0.25">
      <c r="A855" t="str">
        <f>"21"</f>
        <v>21</v>
      </c>
      <c r="B855" t="str">
        <f>"21"</f>
        <v>21</v>
      </c>
      <c r="C855" t="s">
        <v>768</v>
      </c>
    </row>
    <row r="856" spans="1:3" x14ac:dyDescent="0.25">
      <c r="A856" t="str">
        <f>"21"</f>
        <v>21</v>
      </c>
      <c r="B856" t="str">
        <f>"21.01"</f>
        <v>21.01</v>
      </c>
      <c r="C856" t="s">
        <v>31</v>
      </c>
    </row>
    <row r="857" spans="1:3" x14ac:dyDescent="0.25">
      <c r="A857" t="str">
        <f>"21"</f>
        <v>21</v>
      </c>
      <c r="B857" t="str">
        <f>"21.0101"</f>
        <v>21.0101</v>
      </c>
      <c r="C857" t="s">
        <v>31</v>
      </c>
    </row>
    <row r="858" spans="1:3" x14ac:dyDescent="0.25">
      <c r="A858" t="str">
        <f>"22"</f>
        <v>22</v>
      </c>
      <c r="B858" t="str">
        <f>"22"</f>
        <v>22</v>
      </c>
      <c r="C858" t="s">
        <v>769</v>
      </c>
    </row>
    <row r="859" spans="1:3" x14ac:dyDescent="0.25">
      <c r="A859" t="str">
        <f t="shared" ref="A859:A899" si="27">"22"</f>
        <v>22</v>
      </c>
      <c r="B859" t="str">
        <f>"22.00"</f>
        <v>22.00</v>
      </c>
      <c r="C859" t="s">
        <v>770</v>
      </c>
    </row>
    <row r="860" spans="1:3" x14ac:dyDescent="0.25">
      <c r="A860" t="str">
        <f t="shared" si="27"/>
        <v>22</v>
      </c>
      <c r="B860" t="str">
        <f>"22.0000"</f>
        <v>22.0000</v>
      </c>
      <c r="C860" t="s">
        <v>771</v>
      </c>
    </row>
    <row r="861" spans="1:3" x14ac:dyDescent="0.25">
      <c r="A861" t="str">
        <f t="shared" si="27"/>
        <v>22</v>
      </c>
      <c r="B861" t="str">
        <f>"22.0001"</f>
        <v>22.0001</v>
      </c>
      <c r="C861" t="s">
        <v>772</v>
      </c>
    </row>
    <row r="862" spans="1:3" x14ac:dyDescent="0.25">
      <c r="A862" t="str">
        <f t="shared" si="27"/>
        <v>22</v>
      </c>
      <c r="B862" t="str">
        <f>"22.0099"</f>
        <v>22.0099</v>
      </c>
      <c r="C862" t="s">
        <v>773</v>
      </c>
    </row>
    <row r="863" spans="1:3" x14ac:dyDescent="0.25">
      <c r="A863" t="str">
        <f t="shared" si="27"/>
        <v>22</v>
      </c>
      <c r="B863" t="str">
        <f>"22.01"</f>
        <v>22.01</v>
      </c>
      <c r="C863" t="s">
        <v>774</v>
      </c>
    </row>
    <row r="864" spans="1:3" x14ac:dyDescent="0.25">
      <c r="A864" t="str">
        <f t="shared" si="27"/>
        <v>22</v>
      </c>
      <c r="B864" t="str">
        <f>"22.0101"</f>
        <v>22.0101</v>
      </c>
      <c r="C864" t="s">
        <v>774</v>
      </c>
    </row>
    <row r="865" spans="1:3" x14ac:dyDescent="0.25">
      <c r="A865" t="str">
        <f t="shared" si="27"/>
        <v>22</v>
      </c>
      <c r="B865" t="str">
        <f>"22.02"</f>
        <v>22.02</v>
      </c>
      <c r="C865" t="s">
        <v>775</v>
      </c>
    </row>
    <row r="866" spans="1:3" x14ac:dyDescent="0.25">
      <c r="A866" t="str">
        <f t="shared" si="27"/>
        <v>22</v>
      </c>
      <c r="B866" t="str">
        <f>"22.0201"</f>
        <v>22.0201</v>
      </c>
      <c r="C866" t="s">
        <v>776</v>
      </c>
    </row>
    <row r="867" spans="1:3" x14ac:dyDescent="0.25">
      <c r="A867" t="str">
        <f t="shared" si="27"/>
        <v>22</v>
      </c>
      <c r="B867" t="str">
        <f>"22.0202"</f>
        <v>22.0202</v>
      </c>
      <c r="C867" t="s">
        <v>777</v>
      </c>
    </row>
    <row r="868" spans="1:3" x14ac:dyDescent="0.25">
      <c r="A868" t="str">
        <f t="shared" si="27"/>
        <v>22</v>
      </c>
      <c r="B868" t="str">
        <f>"22.0203"</f>
        <v>22.0203</v>
      </c>
      <c r="C868" t="s">
        <v>778</v>
      </c>
    </row>
    <row r="869" spans="1:3" x14ac:dyDescent="0.25">
      <c r="A869" t="str">
        <f t="shared" si="27"/>
        <v>22</v>
      </c>
      <c r="B869" t="str">
        <f>"22.0204"</f>
        <v>22.0204</v>
      </c>
      <c r="C869" t="s">
        <v>779</v>
      </c>
    </row>
    <row r="870" spans="1:3" x14ac:dyDescent="0.25">
      <c r="A870" t="str">
        <f t="shared" si="27"/>
        <v>22</v>
      </c>
      <c r="B870" t="str">
        <f>"22.0205"</f>
        <v>22.0205</v>
      </c>
      <c r="C870" t="s">
        <v>780</v>
      </c>
    </row>
    <row r="871" spans="1:3" x14ac:dyDescent="0.25">
      <c r="A871" t="str">
        <f t="shared" si="27"/>
        <v>22</v>
      </c>
      <c r="B871" t="str">
        <f>"22.0206"</f>
        <v>22.0206</v>
      </c>
      <c r="C871" t="s">
        <v>781</v>
      </c>
    </row>
    <row r="872" spans="1:3" x14ac:dyDescent="0.25">
      <c r="A872" t="str">
        <f t="shared" si="27"/>
        <v>22</v>
      </c>
      <c r="B872" t="str">
        <f>"22.0207"</f>
        <v>22.0207</v>
      </c>
      <c r="C872" t="s">
        <v>782</v>
      </c>
    </row>
    <row r="873" spans="1:3" x14ac:dyDescent="0.25">
      <c r="A873" t="str">
        <f t="shared" si="27"/>
        <v>22</v>
      </c>
      <c r="B873" t="str">
        <f>"22.0208"</f>
        <v>22.0208</v>
      </c>
      <c r="C873" t="s">
        <v>783</v>
      </c>
    </row>
    <row r="874" spans="1:3" x14ac:dyDescent="0.25">
      <c r="A874" t="str">
        <f t="shared" si="27"/>
        <v>22</v>
      </c>
      <c r="B874" t="str">
        <f>"22.0209"</f>
        <v>22.0209</v>
      </c>
      <c r="C874" t="s">
        <v>784</v>
      </c>
    </row>
    <row r="875" spans="1:3" x14ac:dyDescent="0.25">
      <c r="A875" t="str">
        <f t="shared" si="27"/>
        <v>22</v>
      </c>
      <c r="B875" t="str">
        <f>"22.0210"</f>
        <v>22.0210</v>
      </c>
      <c r="C875" t="s">
        <v>785</v>
      </c>
    </row>
    <row r="876" spans="1:3" x14ac:dyDescent="0.25">
      <c r="A876" t="str">
        <f t="shared" si="27"/>
        <v>22</v>
      </c>
      <c r="B876" t="str">
        <f>"22.0211"</f>
        <v>22.0211</v>
      </c>
      <c r="C876" t="s">
        <v>786</v>
      </c>
    </row>
    <row r="877" spans="1:3" x14ac:dyDescent="0.25">
      <c r="A877" t="str">
        <f t="shared" si="27"/>
        <v>22</v>
      </c>
      <c r="B877" t="str">
        <f>"22.0212"</f>
        <v>22.0212</v>
      </c>
      <c r="C877" t="s">
        <v>787</v>
      </c>
    </row>
    <row r="878" spans="1:3" x14ac:dyDescent="0.25">
      <c r="A878" t="str">
        <f t="shared" si="27"/>
        <v>22</v>
      </c>
      <c r="B878" t="str">
        <f>"22.0213"</f>
        <v>22.0213</v>
      </c>
      <c r="C878" t="s">
        <v>788</v>
      </c>
    </row>
    <row r="879" spans="1:3" x14ac:dyDescent="0.25">
      <c r="A879" t="str">
        <f t="shared" si="27"/>
        <v>22</v>
      </c>
      <c r="B879" t="str">
        <f>"22.0214"</f>
        <v>22.0214</v>
      </c>
      <c r="C879" t="s">
        <v>789</v>
      </c>
    </row>
    <row r="880" spans="1:3" x14ac:dyDescent="0.25">
      <c r="A880" t="str">
        <f t="shared" si="27"/>
        <v>22</v>
      </c>
      <c r="B880" t="str">
        <f>"22.0215"</f>
        <v>22.0215</v>
      </c>
      <c r="C880" t="s">
        <v>790</v>
      </c>
    </row>
    <row r="881" spans="1:3" x14ac:dyDescent="0.25">
      <c r="A881" t="str">
        <f t="shared" si="27"/>
        <v>22</v>
      </c>
      <c r="B881" t="str">
        <f>"22.0216"</f>
        <v>22.0216</v>
      </c>
      <c r="C881" t="s">
        <v>791</v>
      </c>
    </row>
    <row r="882" spans="1:3" x14ac:dyDescent="0.25">
      <c r="A882" t="str">
        <f t="shared" si="27"/>
        <v>22</v>
      </c>
      <c r="B882" t="str">
        <f>"22.0217"</f>
        <v>22.0217</v>
      </c>
      <c r="C882" t="s">
        <v>792</v>
      </c>
    </row>
    <row r="883" spans="1:3" x14ac:dyDescent="0.25">
      <c r="A883" t="str">
        <f t="shared" si="27"/>
        <v>22</v>
      </c>
      <c r="B883" t="str">
        <f>"22.0218"</f>
        <v>22.0218</v>
      </c>
      <c r="C883" t="s">
        <v>793</v>
      </c>
    </row>
    <row r="884" spans="1:3" x14ac:dyDescent="0.25">
      <c r="A884" t="str">
        <f t="shared" si="27"/>
        <v>22</v>
      </c>
      <c r="B884" t="str">
        <f>"22.0219"</f>
        <v>22.0219</v>
      </c>
      <c r="C884" t="s">
        <v>794</v>
      </c>
    </row>
    <row r="885" spans="1:3" x14ac:dyDescent="0.25">
      <c r="A885" t="str">
        <f t="shared" si="27"/>
        <v>22</v>
      </c>
      <c r="B885" t="str">
        <f>"22.0220"</f>
        <v>22.0220</v>
      </c>
      <c r="C885" t="s">
        <v>795</v>
      </c>
    </row>
    <row r="886" spans="1:3" x14ac:dyDescent="0.25">
      <c r="A886" t="str">
        <f t="shared" si="27"/>
        <v>22</v>
      </c>
      <c r="B886" t="str">
        <f>"22.0221"</f>
        <v>22.0221</v>
      </c>
      <c r="C886" t="s">
        <v>796</v>
      </c>
    </row>
    <row r="887" spans="1:3" x14ac:dyDescent="0.25">
      <c r="A887" t="str">
        <f t="shared" si="27"/>
        <v>22</v>
      </c>
      <c r="B887" t="str">
        <f>"22.0222"</f>
        <v>22.0222</v>
      </c>
      <c r="C887" t="s">
        <v>797</v>
      </c>
    </row>
    <row r="888" spans="1:3" x14ac:dyDescent="0.25">
      <c r="A888" t="str">
        <f t="shared" si="27"/>
        <v>22</v>
      </c>
      <c r="B888" t="str">
        <f>"22.0223"</f>
        <v>22.0223</v>
      </c>
      <c r="C888" t="s">
        <v>798</v>
      </c>
    </row>
    <row r="889" spans="1:3" x14ac:dyDescent="0.25">
      <c r="A889" t="str">
        <f t="shared" si="27"/>
        <v>22</v>
      </c>
      <c r="B889" t="str">
        <f>"22.0224"</f>
        <v>22.0224</v>
      </c>
      <c r="C889" t="s">
        <v>799</v>
      </c>
    </row>
    <row r="890" spans="1:3" x14ac:dyDescent="0.25">
      <c r="A890" t="str">
        <f t="shared" si="27"/>
        <v>22</v>
      </c>
      <c r="B890" t="str">
        <f>"22.0299"</f>
        <v>22.0299</v>
      </c>
      <c r="C890" t="s">
        <v>800</v>
      </c>
    </row>
    <row r="891" spans="1:3" x14ac:dyDescent="0.25">
      <c r="A891" t="str">
        <f t="shared" si="27"/>
        <v>22</v>
      </c>
      <c r="B891" t="str">
        <f>"22.03"</f>
        <v>22.03</v>
      </c>
      <c r="C891" t="s">
        <v>801</v>
      </c>
    </row>
    <row r="892" spans="1:3" x14ac:dyDescent="0.25">
      <c r="A892" t="str">
        <f t="shared" si="27"/>
        <v>22</v>
      </c>
      <c r="B892" t="str">
        <f>"22.0301"</f>
        <v>22.0301</v>
      </c>
      <c r="C892" t="s">
        <v>802</v>
      </c>
    </row>
    <row r="893" spans="1:3" x14ac:dyDescent="0.25">
      <c r="A893" t="str">
        <f t="shared" si="27"/>
        <v>22</v>
      </c>
      <c r="B893" t="str">
        <f>"22.0302"</f>
        <v>22.0302</v>
      </c>
      <c r="C893" t="s">
        <v>803</v>
      </c>
    </row>
    <row r="894" spans="1:3" x14ac:dyDescent="0.25">
      <c r="A894" t="str">
        <f t="shared" si="27"/>
        <v>22</v>
      </c>
      <c r="B894" t="str">
        <f>"22.0303"</f>
        <v>22.0303</v>
      </c>
      <c r="C894" t="s">
        <v>804</v>
      </c>
    </row>
    <row r="895" spans="1:3" x14ac:dyDescent="0.25">
      <c r="A895" t="str">
        <f t="shared" si="27"/>
        <v>22</v>
      </c>
      <c r="B895" t="str">
        <f>"22.0304"</f>
        <v>22.0304</v>
      </c>
      <c r="C895" t="s">
        <v>805</v>
      </c>
    </row>
    <row r="896" spans="1:3" x14ac:dyDescent="0.25">
      <c r="A896" t="str">
        <f t="shared" si="27"/>
        <v>22</v>
      </c>
      <c r="B896" t="str">
        <f>"22.0305"</f>
        <v>22.0305</v>
      </c>
      <c r="C896" t="s">
        <v>806</v>
      </c>
    </row>
    <row r="897" spans="1:3" x14ac:dyDescent="0.25">
      <c r="A897" t="str">
        <f t="shared" si="27"/>
        <v>22</v>
      </c>
      <c r="B897" t="str">
        <f>"22.0399"</f>
        <v>22.0399</v>
      </c>
      <c r="C897" t="s">
        <v>807</v>
      </c>
    </row>
    <row r="898" spans="1:3" x14ac:dyDescent="0.25">
      <c r="A898" t="str">
        <f t="shared" si="27"/>
        <v>22</v>
      </c>
      <c r="B898" t="str">
        <f>"22.99"</f>
        <v>22.99</v>
      </c>
      <c r="C898" t="s">
        <v>808</v>
      </c>
    </row>
    <row r="899" spans="1:3" x14ac:dyDescent="0.25">
      <c r="A899" t="str">
        <f t="shared" si="27"/>
        <v>22</v>
      </c>
      <c r="B899" t="str">
        <f>"22.9999"</f>
        <v>22.9999</v>
      </c>
      <c r="C899" t="s">
        <v>808</v>
      </c>
    </row>
    <row r="900" spans="1:3" x14ac:dyDescent="0.25">
      <c r="A900" t="str">
        <f>"23"</f>
        <v>23</v>
      </c>
      <c r="B900" t="str">
        <f>"23"</f>
        <v>23</v>
      </c>
      <c r="C900" t="s">
        <v>809</v>
      </c>
    </row>
    <row r="901" spans="1:3" x14ac:dyDescent="0.25">
      <c r="A901" t="str">
        <f t="shared" ref="A901:A917" si="28">"23"</f>
        <v>23</v>
      </c>
      <c r="B901" t="str">
        <f>"23.01"</f>
        <v>23.01</v>
      </c>
      <c r="C901" t="s">
        <v>810</v>
      </c>
    </row>
    <row r="902" spans="1:3" x14ac:dyDescent="0.25">
      <c r="A902" t="str">
        <f t="shared" si="28"/>
        <v>23</v>
      </c>
      <c r="B902" t="str">
        <f>"23.0101"</f>
        <v>23.0101</v>
      </c>
      <c r="C902" t="s">
        <v>810</v>
      </c>
    </row>
    <row r="903" spans="1:3" x14ac:dyDescent="0.25">
      <c r="A903" t="str">
        <f t="shared" si="28"/>
        <v>23</v>
      </c>
      <c r="B903" t="str">
        <f>"23.13"</f>
        <v>23.13</v>
      </c>
      <c r="C903" t="s">
        <v>811</v>
      </c>
    </row>
    <row r="904" spans="1:3" x14ac:dyDescent="0.25">
      <c r="A904" t="str">
        <f t="shared" si="28"/>
        <v>23</v>
      </c>
      <c r="B904" t="str">
        <f>"23.1301"</f>
        <v>23.1301</v>
      </c>
      <c r="C904" t="s">
        <v>812</v>
      </c>
    </row>
    <row r="905" spans="1:3" x14ac:dyDescent="0.25">
      <c r="A905" t="str">
        <f t="shared" si="28"/>
        <v>23</v>
      </c>
      <c r="B905" t="str">
        <f>"23.1302"</f>
        <v>23.1302</v>
      </c>
      <c r="C905" t="s">
        <v>813</v>
      </c>
    </row>
    <row r="906" spans="1:3" x14ac:dyDescent="0.25">
      <c r="A906" t="str">
        <f t="shared" si="28"/>
        <v>23</v>
      </c>
      <c r="B906" t="str">
        <f>"23.1303"</f>
        <v>23.1303</v>
      </c>
      <c r="C906" t="s">
        <v>814</v>
      </c>
    </row>
    <row r="907" spans="1:3" x14ac:dyDescent="0.25">
      <c r="A907" t="str">
        <f t="shared" si="28"/>
        <v>23</v>
      </c>
      <c r="B907" t="str">
        <f>"23.1304"</f>
        <v>23.1304</v>
      </c>
      <c r="C907" t="s">
        <v>815</v>
      </c>
    </row>
    <row r="908" spans="1:3" x14ac:dyDescent="0.25">
      <c r="A908" t="str">
        <f t="shared" si="28"/>
        <v>23</v>
      </c>
      <c r="B908" t="str">
        <f>"23.1399"</f>
        <v>23.1399</v>
      </c>
      <c r="C908" t="s">
        <v>816</v>
      </c>
    </row>
    <row r="909" spans="1:3" x14ac:dyDescent="0.25">
      <c r="A909" t="str">
        <f t="shared" si="28"/>
        <v>23</v>
      </c>
      <c r="B909" t="str">
        <f>"23.14"</f>
        <v>23.14</v>
      </c>
      <c r="C909" t="s">
        <v>817</v>
      </c>
    </row>
    <row r="910" spans="1:3" x14ac:dyDescent="0.25">
      <c r="A910" t="str">
        <f t="shared" si="28"/>
        <v>23</v>
      </c>
      <c r="B910" t="str">
        <f>"23.1401"</f>
        <v>23.1401</v>
      </c>
      <c r="C910" t="s">
        <v>818</v>
      </c>
    </row>
    <row r="911" spans="1:3" x14ac:dyDescent="0.25">
      <c r="A911" t="str">
        <f t="shared" si="28"/>
        <v>23</v>
      </c>
      <c r="B911" t="str">
        <f>"23.1402"</f>
        <v>23.1402</v>
      </c>
      <c r="C911" t="s">
        <v>819</v>
      </c>
    </row>
    <row r="912" spans="1:3" x14ac:dyDescent="0.25">
      <c r="A912" t="str">
        <f t="shared" si="28"/>
        <v>23</v>
      </c>
      <c r="B912" t="str">
        <f>"23.1403"</f>
        <v>23.1403</v>
      </c>
      <c r="C912" t="s">
        <v>820</v>
      </c>
    </row>
    <row r="913" spans="1:3" x14ac:dyDescent="0.25">
      <c r="A913" t="str">
        <f t="shared" si="28"/>
        <v>23</v>
      </c>
      <c r="B913" t="str">
        <f>"23.1404"</f>
        <v>23.1404</v>
      </c>
      <c r="C913" t="s">
        <v>821</v>
      </c>
    </row>
    <row r="914" spans="1:3" x14ac:dyDescent="0.25">
      <c r="A914" t="str">
        <f t="shared" si="28"/>
        <v>23</v>
      </c>
      <c r="B914" t="str">
        <f>"23.1405"</f>
        <v>23.1405</v>
      </c>
      <c r="C914" t="s">
        <v>822</v>
      </c>
    </row>
    <row r="915" spans="1:3" x14ac:dyDescent="0.25">
      <c r="A915" t="str">
        <f t="shared" si="28"/>
        <v>23</v>
      </c>
      <c r="B915" t="str">
        <f>"23.1499"</f>
        <v>23.1499</v>
      </c>
      <c r="C915" t="s">
        <v>823</v>
      </c>
    </row>
    <row r="916" spans="1:3" x14ac:dyDescent="0.25">
      <c r="A916" t="str">
        <f t="shared" si="28"/>
        <v>23</v>
      </c>
      <c r="B916" t="str">
        <f>"23.99"</f>
        <v>23.99</v>
      </c>
      <c r="C916" t="s">
        <v>824</v>
      </c>
    </row>
    <row r="917" spans="1:3" x14ac:dyDescent="0.25">
      <c r="A917" t="str">
        <f t="shared" si="28"/>
        <v>23</v>
      </c>
      <c r="B917" t="str">
        <f>"23.9999"</f>
        <v>23.9999</v>
      </c>
      <c r="C917" t="s">
        <v>824</v>
      </c>
    </row>
    <row r="918" spans="1:3" x14ac:dyDescent="0.25">
      <c r="A918" t="str">
        <f>"24"</f>
        <v>24</v>
      </c>
      <c r="B918" t="str">
        <f>"24"</f>
        <v>24</v>
      </c>
      <c r="C918" t="s">
        <v>825</v>
      </c>
    </row>
    <row r="919" spans="1:3" x14ac:dyDescent="0.25">
      <c r="A919" t="str">
        <f>"24"</f>
        <v>24</v>
      </c>
      <c r="B919" t="str">
        <f>"24.01"</f>
        <v>24.01</v>
      </c>
      <c r="C919" t="s">
        <v>826</v>
      </c>
    </row>
    <row r="920" spans="1:3" x14ac:dyDescent="0.25">
      <c r="A920" t="str">
        <f>"24"</f>
        <v>24</v>
      </c>
      <c r="B920" t="str">
        <f>"24.0101"</f>
        <v>24.0101</v>
      </c>
      <c r="C920" t="s">
        <v>827</v>
      </c>
    </row>
    <row r="921" spans="1:3" x14ac:dyDescent="0.25">
      <c r="A921" t="str">
        <f>"24"</f>
        <v>24</v>
      </c>
      <c r="B921" t="str">
        <f>"24.0102"</f>
        <v>24.0102</v>
      </c>
      <c r="C921" t="s">
        <v>828</v>
      </c>
    </row>
    <row r="922" spans="1:3" x14ac:dyDescent="0.25">
      <c r="A922" t="str">
        <f>"24"</f>
        <v>24</v>
      </c>
      <c r="B922" t="str">
        <f>"24.0103"</f>
        <v>24.0103</v>
      </c>
      <c r="C922" t="s">
        <v>829</v>
      </c>
    </row>
    <row r="923" spans="1:3" x14ac:dyDescent="0.25">
      <c r="A923" t="str">
        <f>"24"</f>
        <v>24</v>
      </c>
      <c r="B923" t="str">
        <f>"24.0199"</f>
        <v>24.0199</v>
      </c>
      <c r="C923" t="s">
        <v>830</v>
      </c>
    </row>
    <row r="924" spans="1:3" x14ac:dyDescent="0.25">
      <c r="A924" t="str">
        <f>"25"</f>
        <v>25</v>
      </c>
      <c r="B924" t="str">
        <f>"25"</f>
        <v>25</v>
      </c>
      <c r="C924" t="s">
        <v>831</v>
      </c>
    </row>
    <row r="925" spans="1:3" x14ac:dyDescent="0.25">
      <c r="A925" t="str">
        <f t="shared" ref="A925:A933" si="29">"25"</f>
        <v>25</v>
      </c>
      <c r="B925" t="str">
        <f>"25.01"</f>
        <v>25.01</v>
      </c>
      <c r="C925" t="s">
        <v>832</v>
      </c>
    </row>
    <row r="926" spans="1:3" x14ac:dyDescent="0.25">
      <c r="A926" t="str">
        <f t="shared" si="29"/>
        <v>25</v>
      </c>
      <c r="B926" t="str">
        <f>"25.0101"</f>
        <v>25.0101</v>
      </c>
      <c r="C926" t="s">
        <v>833</v>
      </c>
    </row>
    <row r="927" spans="1:3" x14ac:dyDescent="0.25">
      <c r="A927" t="str">
        <f t="shared" si="29"/>
        <v>25</v>
      </c>
      <c r="B927" t="str">
        <f>"25.0102"</f>
        <v>25.0102</v>
      </c>
      <c r="C927" t="s">
        <v>834</v>
      </c>
    </row>
    <row r="928" spans="1:3" x14ac:dyDescent="0.25">
      <c r="A928" t="str">
        <f t="shared" si="29"/>
        <v>25</v>
      </c>
      <c r="B928" t="str">
        <f>"25.0103"</f>
        <v>25.0103</v>
      </c>
      <c r="C928" t="s">
        <v>835</v>
      </c>
    </row>
    <row r="929" spans="1:3" x14ac:dyDescent="0.25">
      <c r="A929" t="str">
        <f t="shared" si="29"/>
        <v>25</v>
      </c>
      <c r="B929" t="str">
        <f>"25.0199"</f>
        <v>25.0199</v>
      </c>
      <c r="C929" t="s">
        <v>836</v>
      </c>
    </row>
    <row r="930" spans="1:3" x14ac:dyDescent="0.25">
      <c r="A930" t="str">
        <f t="shared" si="29"/>
        <v>25</v>
      </c>
      <c r="B930" t="str">
        <f>"25.03"</f>
        <v>25.03</v>
      </c>
      <c r="C930" t="s">
        <v>837</v>
      </c>
    </row>
    <row r="931" spans="1:3" x14ac:dyDescent="0.25">
      <c r="A931" t="str">
        <f t="shared" si="29"/>
        <v>25</v>
      </c>
      <c r="B931" t="str">
        <f>"25.0301"</f>
        <v>25.0301</v>
      </c>
      <c r="C931" t="s">
        <v>837</v>
      </c>
    </row>
    <row r="932" spans="1:3" x14ac:dyDescent="0.25">
      <c r="A932" t="str">
        <f t="shared" si="29"/>
        <v>25</v>
      </c>
      <c r="B932" t="str">
        <f>"25.99"</f>
        <v>25.99</v>
      </c>
      <c r="C932" t="s">
        <v>838</v>
      </c>
    </row>
    <row r="933" spans="1:3" x14ac:dyDescent="0.25">
      <c r="A933" t="str">
        <f t="shared" si="29"/>
        <v>25</v>
      </c>
      <c r="B933" t="str">
        <f>"25.9999"</f>
        <v>25.9999</v>
      </c>
      <c r="C933" t="s">
        <v>838</v>
      </c>
    </row>
    <row r="934" spans="1:3" x14ac:dyDescent="0.25">
      <c r="A934" t="str">
        <f>"26"</f>
        <v>26</v>
      </c>
      <c r="B934" t="str">
        <f>"26"</f>
        <v>26</v>
      </c>
      <c r="C934" t="s">
        <v>839</v>
      </c>
    </row>
    <row r="935" spans="1:3" x14ac:dyDescent="0.25">
      <c r="A935" t="str">
        <f t="shared" ref="A935:A966" si="30">"26"</f>
        <v>26</v>
      </c>
      <c r="B935" t="str">
        <f>"26.01"</f>
        <v>26.01</v>
      </c>
      <c r="C935" t="s">
        <v>840</v>
      </c>
    </row>
    <row r="936" spans="1:3" x14ac:dyDescent="0.25">
      <c r="A936" t="str">
        <f t="shared" si="30"/>
        <v>26</v>
      </c>
      <c r="B936" t="str">
        <f>"26.0101"</f>
        <v>26.0101</v>
      </c>
      <c r="C936" t="s">
        <v>841</v>
      </c>
    </row>
    <row r="937" spans="1:3" x14ac:dyDescent="0.25">
      <c r="A937" t="str">
        <f t="shared" si="30"/>
        <v>26</v>
      </c>
      <c r="B937" t="str">
        <f>"26.0102"</f>
        <v>26.0102</v>
      </c>
      <c r="C937" t="s">
        <v>842</v>
      </c>
    </row>
    <row r="938" spans="1:3" x14ac:dyDescent="0.25">
      <c r="A938" t="str">
        <f t="shared" si="30"/>
        <v>26</v>
      </c>
      <c r="B938" t="str">
        <f>"26.02"</f>
        <v>26.02</v>
      </c>
      <c r="C938" t="s">
        <v>843</v>
      </c>
    </row>
    <row r="939" spans="1:3" x14ac:dyDescent="0.25">
      <c r="A939" t="str">
        <f t="shared" si="30"/>
        <v>26</v>
      </c>
      <c r="B939" t="str">
        <f>"26.0202"</f>
        <v>26.0202</v>
      </c>
      <c r="C939" t="s">
        <v>844</v>
      </c>
    </row>
    <row r="940" spans="1:3" x14ac:dyDescent="0.25">
      <c r="A940" t="str">
        <f t="shared" si="30"/>
        <v>26</v>
      </c>
      <c r="B940" t="str">
        <f>"26.0203"</f>
        <v>26.0203</v>
      </c>
      <c r="C940" t="s">
        <v>845</v>
      </c>
    </row>
    <row r="941" spans="1:3" x14ac:dyDescent="0.25">
      <c r="A941" t="str">
        <f t="shared" si="30"/>
        <v>26</v>
      </c>
      <c r="B941" t="str">
        <f>"26.0204"</f>
        <v>26.0204</v>
      </c>
      <c r="C941" t="s">
        <v>846</v>
      </c>
    </row>
    <row r="942" spans="1:3" x14ac:dyDescent="0.25">
      <c r="A942" t="str">
        <f t="shared" si="30"/>
        <v>26</v>
      </c>
      <c r="B942" t="str">
        <f>"26.0205"</f>
        <v>26.0205</v>
      </c>
      <c r="C942" t="s">
        <v>847</v>
      </c>
    </row>
    <row r="943" spans="1:3" x14ac:dyDescent="0.25">
      <c r="A943" t="str">
        <f t="shared" si="30"/>
        <v>26</v>
      </c>
      <c r="B943" t="str">
        <f>"26.0206"</f>
        <v>26.0206</v>
      </c>
      <c r="C943" t="s">
        <v>848</v>
      </c>
    </row>
    <row r="944" spans="1:3" x14ac:dyDescent="0.25">
      <c r="A944" t="str">
        <f t="shared" si="30"/>
        <v>26</v>
      </c>
      <c r="B944" t="str">
        <f>"26.0207"</f>
        <v>26.0207</v>
      </c>
      <c r="C944" t="s">
        <v>849</v>
      </c>
    </row>
    <row r="945" spans="1:3" x14ac:dyDescent="0.25">
      <c r="A945" t="str">
        <f t="shared" si="30"/>
        <v>26</v>
      </c>
      <c r="B945" t="str">
        <f>"26.0208"</f>
        <v>26.0208</v>
      </c>
      <c r="C945" t="s">
        <v>850</v>
      </c>
    </row>
    <row r="946" spans="1:3" x14ac:dyDescent="0.25">
      <c r="A946" t="str">
        <f t="shared" si="30"/>
        <v>26</v>
      </c>
      <c r="B946" t="str">
        <f>"26.0209"</f>
        <v>26.0209</v>
      </c>
      <c r="C946" t="s">
        <v>851</v>
      </c>
    </row>
    <row r="947" spans="1:3" x14ac:dyDescent="0.25">
      <c r="A947" t="str">
        <f t="shared" si="30"/>
        <v>26</v>
      </c>
      <c r="B947" t="str">
        <f>"26.0210"</f>
        <v>26.0210</v>
      </c>
      <c r="C947" t="s">
        <v>852</v>
      </c>
    </row>
    <row r="948" spans="1:3" x14ac:dyDescent="0.25">
      <c r="A948" t="str">
        <f t="shared" si="30"/>
        <v>26</v>
      </c>
      <c r="B948" t="str">
        <f>"26.0299"</f>
        <v>26.0299</v>
      </c>
      <c r="C948" t="s">
        <v>853</v>
      </c>
    </row>
    <row r="949" spans="1:3" x14ac:dyDescent="0.25">
      <c r="A949" t="str">
        <f t="shared" si="30"/>
        <v>26</v>
      </c>
      <c r="B949" t="str">
        <f>"26.03"</f>
        <v>26.03</v>
      </c>
      <c r="C949" t="s">
        <v>854</v>
      </c>
    </row>
    <row r="950" spans="1:3" x14ac:dyDescent="0.25">
      <c r="A950" t="str">
        <f t="shared" si="30"/>
        <v>26</v>
      </c>
      <c r="B950" t="str">
        <f>"26.0301"</f>
        <v>26.0301</v>
      </c>
      <c r="C950" t="s">
        <v>854</v>
      </c>
    </row>
    <row r="951" spans="1:3" x14ac:dyDescent="0.25">
      <c r="A951" t="str">
        <f t="shared" si="30"/>
        <v>26</v>
      </c>
      <c r="B951" t="str">
        <f>"26.0305"</f>
        <v>26.0305</v>
      </c>
      <c r="C951" t="s">
        <v>855</v>
      </c>
    </row>
    <row r="952" spans="1:3" x14ac:dyDescent="0.25">
      <c r="A952" t="str">
        <f t="shared" si="30"/>
        <v>26</v>
      </c>
      <c r="B952" t="str">
        <f>"26.0307"</f>
        <v>26.0307</v>
      </c>
      <c r="C952" t="s">
        <v>856</v>
      </c>
    </row>
    <row r="953" spans="1:3" x14ac:dyDescent="0.25">
      <c r="A953" t="str">
        <f t="shared" si="30"/>
        <v>26</v>
      </c>
      <c r="B953" t="str">
        <f>"26.0308"</f>
        <v>26.0308</v>
      </c>
      <c r="C953" t="s">
        <v>857</v>
      </c>
    </row>
    <row r="954" spans="1:3" x14ac:dyDescent="0.25">
      <c r="A954" t="str">
        <f t="shared" si="30"/>
        <v>26</v>
      </c>
      <c r="B954" t="str">
        <f>"26.0399"</f>
        <v>26.0399</v>
      </c>
      <c r="C954" t="s">
        <v>858</v>
      </c>
    </row>
    <row r="955" spans="1:3" x14ac:dyDescent="0.25">
      <c r="A955" t="str">
        <f t="shared" si="30"/>
        <v>26</v>
      </c>
      <c r="B955" t="str">
        <f>"26.04"</f>
        <v>26.04</v>
      </c>
      <c r="C955" t="s">
        <v>859</v>
      </c>
    </row>
    <row r="956" spans="1:3" x14ac:dyDescent="0.25">
      <c r="A956" t="str">
        <f t="shared" si="30"/>
        <v>26</v>
      </c>
      <c r="B956" t="str">
        <f>"26.0401"</f>
        <v>26.0401</v>
      </c>
      <c r="C956" t="s">
        <v>860</v>
      </c>
    </row>
    <row r="957" spans="1:3" x14ac:dyDescent="0.25">
      <c r="A957" t="str">
        <f t="shared" si="30"/>
        <v>26</v>
      </c>
      <c r="B957" t="str">
        <f>"26.0403"</f>
        <v>26.0403</v>
      </c>
      <c r="C957" t="s">
        <v>861</v>
      </c>
    </row>
    <row r="958" spans="1:3" x14ac:dyDescent="0.25">
      <c r="A958" t="str">
        <f t="shared" si="30"/>
        <v>26</v>
      </c>
      <c r="B958" t="str">
        <f>"26.0404"</f>
        <v>26.0404</v>
      </c>
      <c r="C958" t="s">
        <v>862</v>
      </c>
    </row>
    <row r="959" spans="1:3" x14ac:dyDescent="0.25">
      <c r="A959" t="str">
        <f t="shared" si="30"/>
        <v>26</v>
      </c>
      <c r="B959" t="str">
        <f>"26.0406"</f>
        <v>26.0406</v>
      </c>
      <c r="C959" t="s">
        <v>863</v>
      </c>
    </row>
    <row r="960" spans="1:3" x14ac:dyDescent="0.25">
      <c r="A960" t="str">
        <f t="shared" si="30"/>
        <v>26</v>
      </c>
      <c r="B960" t="str">
        <f>"26.0407"</f>
        <v>26.0407</v>
      </c>
      <c r="C960" t="s">
        <v>864</v>
      </c>
    </row>
    <row r="961" spans="1:3" x14ac:dyDescent="0.25">
      <c r="A961" t="str">
        <f t="shared" si="30"/>
        <v>26</v>
      </c>
      <c r="B961" t="str">
        <f>"26.0499"</f>
        <v>26.0499</v>
      </c>
      <c r="C961" t="s">
        <v>865</v>
      </c>
    </row>
    <row r="962" spans="1:3" x14ac:dyDescent="0.25">
      <c r="A962" t="str">
        <f t="shared" si="30"/>
        <v>26</v>
      </c>
      <c r="B962" t="str">
        <f>"26.05"</f>
        <v>26.05</v>
      </c>
      <c r="C962" t="s">
        <v>866</v>
      </c>
    </row>
    <row r="963" spans="1:3" x14ac:dyDescent="0.25">
      <c r="A963" t="str">
        <f t="shared" si="30"/>
        <v>26</v>
      </c>
      <c r="B963" t="str">
        <f>"26.0502"</f>
        <v>26.0502</v>
      </c>
      <c r="C963" t="s">
        <v>867</v>
      </c>
    </row>
    <row r="964" spans="1:3" x14ac:dyDescent="0.25">
      <c r="A964" t="str">
        <f t="shared" si="30"/>
        <v>26</v>
      </c>
      <c r="B964" t="str">
        <f>"26.0503"</f>
        <v>26.0503</v>
      </c>
      <c r="C964" t="s">
        <v>868</v>
      </c>
    </row>
    <row r="965" spans="1:3" x14ac:dyDescent="0.25">
      <c r="A965" t="str">
        <f t="shared" si="30"/>
        <v>26</v>
      </c>
      <c r="B965" t="str">
        <f>"26.0504"</f>
        <v>26.0504</v>
      </c>
      <c r="C965" t="s">
        <v>869</v>
      </c>
    </row>
    <row r="966" spans="1:3" x14ac:dyDescent="0.25">
      <c r="A966" t="str">
        <f t="shared" si="30"/>
        <v>26</v>
      </c>
      <c r="B966" t="str">
        <f>"26.0505"</f>
        <v>26.0505</v>
      </c>
      <c r="C966" t="s">
        <v>870</v>
      </c>
    </row>
    <row r="967" spans="1:3" x14ac:dyDescent="0.25">
      <c r="A967" t="str">
        <f t="shared" ref="A967:A998" si="31">"26"</f>
        <v>26</v>
      </c>
      <c r="B967" t="str">
        <f>"26.0506"</f>
        <v>26.0506</v>
      </c>
      <c r="C967" t="s">
        <v>871</v>
      </c>
    </row>
    <row r="968" spans="1:3" x14ac:dyDescent="0.25">
      <c r="A968" t="str">
        <f t="shared" si="31"/>
        <v>26</v>
      </c>
      <c r="B968" t="str">
        <f>"26.0507"</f>
        <v>26.0507</v>
      </c>
      <c r="C968" t="s">
        <v>872</v>
      </c>
    </row>
    <row r="969" spans="1:3" x14ac:dyDescent="0.25">
      <c r="A969" t="str">
        <f t="shared" si="31"/>
        <v>26</v>
      </c>
      <c r="B969" t="str">
        <f>"26.0508"</f>
        <v>26.0508</v>
      </c>
      <c r="C969" t="s">
        <v>873</v>
      </c>
    </row>
    <row r="970" spans="1:3" x14ac:dyDescent="0.25">
      <c r="A970" t="str">
        <f t="shared" si="31"/>
        <v>26</v>
      </c>
      <c r="B970" t="str">
        <f>"26.0509"</f>
        <v>26.0509</v>
      </c>
      <c r="C970" t="s">
        <v>874</v>
      </c>
    </row>
    <row r="971" spans="1:3" x14ac:dyDescent="0.25">
      <c r="A971" t="str">
        <f t="shared" si="31"/>
        <v>26</v>
      </c>
      <c r="B971" t="str">
        <f>"26.0599"</f>
        <v>26.0599</v>
      </c>
      <c r="C971" t="s">
        <v>875</v>
      </c>
    </row>
    <row r="972" spans="1:3" x14ac:dyDescent="0.25">
      <c r="A972" t="str">
        <f t="shared" si="31"/>
        <v>26</v>
      </c>
      <c r="B972" t="str">
        <f>"26.07"</f>
        <v>26.07</v>
      </c>
      <c r="C972" t="s">
        <v>876</v>
      </c>
    </row>
    <row r="973" spans="1:3" x14ac:dyDescent="0.25">
      <c r="A973" t="str">
        <f t="shared" si="31"/>
        <v>26</v>
      </c>
      <c r="B973" t="str">
        <f>"26.0701"</f>
        <v>26.0701</v>
      </c>
      <c r="C973" t="s">
        <v>876</v>
      </c>
    </row>
    <row r="974" spans="1:3" x14ac:dyDescent="0.25">
      <c r="A974" t="str">
        <f t="shared" si="31"/>
        <v>26</v>
      </c>
      <c r="B974" t="str">
        <f>"26.0702"</f>
        <v>26.0702</v>
      </c>
      <c r="C974" t="s">
        <v>877</v>
      </c>
    </row>
    <row r="975" spans="1:3" x14ac:dyDescent="0.25">
      <c r="A975" t="str">
        <f t="shared" si="31"/>
        <v>26</v>
      </c>
      <c r="B975" t="str">
        <f>"26.0707"</f>
        <v>26.0707</v>
      </c>
      <c r="C975" t="s">
        <v>878</v>
      </c>
    </row>
    <row r="976" spans="1:3" x14ac:dyDescent="0.25">
      <c r="A976" t="str">
        <f t="shared" si="31"/>
        <v>26</v>
      </c>
      <c r="B976" t="str">
        <f>"26.0708"</f>
        <v>26.0708</v>
      </c>
      <c r="C976" t="s">
        <v>879</v>
      </c>
    </row>
    <row r="977" spans="1:3" x14ac:dyDescent="0.25">
      <c r="A977" t="str">
        <f t="shared" si="31"/>
        <v>26</v>
      </c>
      <c r="B977" t="str">
        <f>"26.0709"</f>
        <v>26.0709</v>
      </c>
      <c r="C977" t="s">
        <v>880</v>
      </c>
    </row>
    <row r="978" spans="1:3" x14ac:dyDescent="0.25">
      <c r="A978" t="str">
        <f t="shared" si="31"/>
        <v>26</v>
      </c>
      <c r="B978" t="str">
        <f>"26.0799"</f>
        <v>26.0799</v>
      </c>
      <c r="C978" t="s">
        <v>881</v>
      </c>
    </row>
    <row r="979" spans="1:3" x14ac:dyDescent="0.25">
      <c r="A979" t="str">
        <f t="shared" si="31"/>
        <v>26</v>
      </c>
      <c r="B979" t="str">
        <f>"26.08"</f>
        <v>26.08</v>
      </c>
      <c r="C979" t="s">
        <v>882</v>
      </c>
    </row>
    <row r="980" spans="1:3" x14ac:dyDescent="0.25">
      <c r="A980" t="str">
        <f t="shared" si="31"/>
        <v>26</v>
      </c>
      <c r="B980" t="str">
        <f>"26.0801"</f>
        <v>26.0801</v>
      </c>
      <c r="C980" t="s">
        <v>883</v>
      </c>
    </row>
    <row r="981" spans="1:3" x14ac:dyDescent="0.25">
      <c r="A981" t="str">
        <f t="shared" si="31"/>
        <v>26</v>
      </c>
      <c r="B981" t="str">
        <f>"26.0802"</f>
        <v>26.0802</v>
      </c>
      <c r="C981" t="s">
        <v>884</v>
      </c>
    </row>
    <row r="982" spans="1:3" x14ac:dyDescent="0.25">
      <c r="A982" t="str">
        <f t="shared" si="31"/>
        <v>26</v>
      </c>
      <c r="B982" t="str">
        <f>"26.0803"</f>
        <v>26.0803</v>
      </c>
      <c r="C982" t="s">
        <v>885</v>
      </c>
    </row>
    <row r="983" spans="1:3" x14ac:dyDescent="0.25">
      <c r="A983" t="str">
        <f t="shared" si="31"/>
        <v>26</v>
      </c>
      <c r="B983" t="str">
        <f>"26.0804"</f>
        <v>26.0804</v>
      </c>
      <c r="C983" t="s">
        <v>886</v>
      </c>
    </row>
    <row r="984" spans="1:3" x14ac:dyDescent="0.25">
      <c r="A984" t="str">
        <f t="shared" si="31"/>
        <v>26</v>
      </c>
      <c r="B984" t="str">
        <f>"26.0805"</f>
        <v>26.0805</v>
      </c>
      <c r="C984" t="s">
        <v>887</v>
      </c>
    </row>
    <row r="985" spans="1:3" x14ac:dyDescent="0.25">
      <c r="A985" t="str">
        <f t="shared" si="31"/>
        <v>26</v>
      </c>
      <c r="B985" t="str">
        <f>"26.0806"</f>
        <v>26.0806</v>
      </c>
      <c r="C985" t="s">
        <v>888</v>
      </c>
    </row>
    <row r="986" spans="1:3" x14ac:dyDescent="0.25">
      <c r="A986" t="str">
        <f t="shared" si="31"/>
        <v>26</v>
      </c>
      <c r="B986" t="str">
        <f>"26.0807"</f>
        <v>26.0807</v>
      </c>
      <c r="C986" t="s">
        <v>889</v>
      </c>
    </row>
    <row r="987" spans="1:3" x14ac:dyDescent="0.25">
      <c r="A987" t="str">
        <f t="shared" si="31"/>
        <v>26</v>
      </c>
      <c r="B987" t="str">
        <f>"26.0899"</f>
        <v>26.0899</v>
      </c>
      <c r="C987" t="s">
        <v>890</v>
      </c>
    </row>
    <row r="988" spans="1:3" x14ac:dyDescent="0.25">
      <c r="A988" t="str">
        <f t="shared" si="31"/>
        <v>26</v>
      </c>
      <c r="B988" t="str">
        <f>"26.09"</f>
        <v>26.09</v>
      </c>
      <c r="C988" t="s">
        <v>891</v>
      </c>
    </row>
    <row r="989" spans="1:3" x14ac:dyDescent="0.25">
      <c r="A989" t="str">
        <f t="shared" si="31"/>
        <v>26</v>
      </c>
      <c r="B989" t="str">
        <f>"26.0901"</f>
        <v>26.0901</v>
      </c>
      <c r="C989" t="s">
        <v>892</v>
      </c>
    </row>
    <row r="990" spans="1:3" x14ac:dyDescent="0.25">
      <c r="A990" t="str">
        <f t="shared" si="31"/>
        <v>26</v>
      </c>
      <c r="B990" t="str">
        <f>"26.0902"</f>
        <v>26.0902</v>
      </c>
      <c r="C990" t="s">
        <v>893</v>
      </c>
    </row>
    <row r="991" spans="1:3" x14ac:dyDescent="0.25">
      <c r="A991" t="str">
        <f t="shared" si="31"/>
        <v>26</v>
      </c>
      <c r="B991" t="str">
        <f>"26.0903"</f>
        <v>26.0903</v>
      </c>
      <c r="C991" t="s">
        <v>894</v>
      </c>
    </row>
    <row r="992" spans="1:3" x14ac:dyDescent="0.25">
      <c r="A992" t="str">
        <f t="shared" si="31"/>
        <v>26</v>
      </c>
      <c r="B992" t="str">
        <f>"26.0904"</f>
        <v>26.0904</v>
      </c>
      <c r="C992" t="s">
        <v>895</v>
      </c>
    </row>
    <row r="993" spans="1:3" x14ac:dyDescent="0.25">
      <c r="A993" t="str">
        <f t="shared" si="31"/>
        <v>26</v>
      </c>
      <c r="B993" t="str">
        <f>"26.0905"</f>
        <v>26.0905</v>
      </c>
      <c r="C993" t="s">
        <v>896</v>
      </c>
    </row>
    <row r="994" spans="1:3" x14ac:dyDescent="0.25">
      <c r="A994" t="str">
        <f t="shared" si="31"/>
        <v>26</v>
      </c>
      <c r="B994" t="str">
        <f>"26.0907"</f>
        <v>26.0907</v>
      </c>
      <c r="C994" t="s">
        <v>897</v>
      </c>
    </row>
    <row r="995" spans="1:3" x14ac:dyDescent="0.25">
      <c r="A995" t="str">
        <f t="shared" si="31"/>
        <v>26</v>
      </c>
      <c r="B995" t="str">
        <f>"26.0908"</f>
        <v>26.0908</v>
      </c>
      <c r="C995" t="s">
        <v>898</v>
      </c>
    </row>
    <row r="996" spans="1:3" x14ac:dyDescent="0.25">
      <c r="A996" t="str">
        <f t="shared" si="31"/>
        <v>26</v>
      </c>
      <c r="B996" t="str">
        <f>"26.0909"</f>
        <v>26.0909</v>
      </c>
      <c r="C996" t="s">
        <v>899</v>
      </c>
    </row>
    <row r="997" spans="1:3" x14ac:dyDescent="0.25">
      <c r="A997" t="str">
        <f t="shared" si="31"/>
        <v>26</v>
      </c>
      <c r="B997" t="str">
        <f>"26.0910"</f>
        <v>26.0910</v>
      </c>
      <c r="C997" t="s">
        <v>900</v>
      </c>
    </row>
    <row r="998" spans="1:3" x14ac:dyDescent="0.25">
      <c r="A998" t="str">
        <f t="shared" si="31"/>
        <v>26</v>
      </c>
      <c r="B998" t="str">
        <f>"26.0911"</f>
        <v>26.0911</v>
      </c>
      <c r="C998" t="s">
        <v>901</v>
      </c>
    </row>
    <row r="999" spans="1:3" x14ac:dyDescent="0.25">
      <c r="A999" t="str">
        <f t="shared" ref="A999:A1030" si="32">"26"</f>
        <v>26</v>
      </c>
      <c r="B999" t="str">
        <f>"26.0912"</f>
        <v>26.0912</v>
      </c>
      <c r="C999" t="s">
        <v>902</v>
      </c>
    </row>
    <row r="1000" spans="1:3" x14ac:dyDescent="0.25">
      <c r="A1000" t="str">
        <f t="shared" si="32"/>
        <v>26</v>
      </c>
      <c r="B1000" t="str">
        <f>"26.0913"</f>
        <v>26.0913</v>
      </c>
      <c r="C1000" t="s">
        <v>903</v>
      </c>
    </row>
    <row r="1001" spans="1:3" x14ac:dyDescent="0.25">
      <c r="A1001" t="str">
        <f t="shared" si="32"/>
        <v>26</v>
      </c>
      <c r="B1001" t="str">
        <f>"26.0999"</f>
        <v>26.0999</v>
      </c>
      <c r="C1001" t="s">
        <v>904</v>
      </c>
    </row>
    <row r="1002" spans="1:3" x14ac:dyDescent="0.25">
      <c r="A1002" t="str">
        <f t="shared" si="32"/>
        <v>26</v>
      </c>
      <c r="B1002" t="str">
        <f>"26.10"</f>
        <v>26.10</v>
      </c>
      <c r="C1002" t="s">
        <v>905</v>
      </c>
    </row>
    <row r="1003" spans="1:3" x14ac:dyDescent="0.25">
      <c r="A1003" t="str">
        <f t="shared" si="32"/>
        <v>26</v>
      </c>
      <c r="B1003" t="str">
        <f>"26.1001"</f>
        <v>26.1001</v>
      </c>
      <c r="C1003" t="s">
        <v>906</v>
      </c>
    </row>
    <row r="1004" spans="1:3" x14ac:dyDescent="0.25">
      <c r="A1004" t="str">
        <f t="shared" si="32"/>
        <v>26</v>
      </c>
      <c r="B1004" t="str">
        <f>"26.1002"</f>
        <v>26.1002</v>
      </c>
      <c r="C1004" t="s">
        <v>907</v>
      </c>
    </row>
    <row r="1005" spans="1:3" x14ac:dyDescent="0.25">
      <c r="A1005" t="str">
        <f t="shared" si="32"/>
        <v>26</v>
      </c>
      <c r="B1005" t="str">
        <f>"26.1003"</f>
        <v>26.1003</v>
      </c>
      <c r="C1005" t="s">
        <v>908</v>
      </c>
    </row>
    <row r="1006" spans="1:3" x14ac:dyDescent="0.25">
      <c r="A1006" t="str">
        <f t="shared" si="32"/>
        <v>26</v>
      </c>
      <c r="B1006" t="str">
        <f>"26.1004"</f>
        <v>26.1004</v>
      </c>
      <c r="C1006" t="s">
        <v>909</v>
      </c>
    </row>
    <row r="1007" spans="1:3" x14ac:dyDescent="0.25">
      <c r="A1007" t="str">
        <f t="shared" si="32"/>
        <v>26</v>
      </c>
      <c r="B1007" t="str">
        <f>"26.1005"</f>
        <v>26.1005</v>
      </c>
      <c r="C1007" t="s">
        <v>910</v>
      </c>
    </row>
    <row r="1008" spans="1:3" x14ac:dyDescent="0.25">
      <c r="A1008" t="str">
        <f t="shared" si="32"/>
        <v>26</v>
      </c>
      <c r="B1008" t="str">
        <f>"26.1006"</f>
        <v>26.1006</v>
      </c>
      <c r="C1008" t="s">
        <v>911</v>
      </c>
    </row>
    <row r="1009" spans="1:3" x14ac:dyDescent="0.25">
      <c r="A1009" t="str">
        <f t="shared" si="32"/>
        <v>26</v>
      </c>
      <c r="B1009" t="str">
        <f>"26.1007"</f>
        <v>26.1007</v>
      </c>
      <c r="C1009" t="s">
        <v>905</v>
      </c>
    </row>
    <row r="1010" spans="1:3" x14ac:dyDescent="0.25">
      <c r="A1010" t="str">
        <f t="shared" si="32"/>
        <v>26</v>
      </c>
      <c r="B1010" t="str">
        <f>"26.1099"</f>
        <v>26.1099</v>
      </c>
      <c r="C1010" t="s">
        <v>912</v>
      </c>
    </row>
    <row r="1011" spans="1:3" x14ac:dyDescent="0.25">
      <c r="A1011" t="str">
        <f t="shared" si="32"/>
        <v>26</v>
      </c>
      <c r="B1011" t="str">
        <f>"26.11"</f>
        <v>26.11</v>
      </c>
      <c r="C1011" t="s">
        <v>913</v>
      </c>
    </row>
    <row r="1012" spans="1:3" x14ac:dyDescent="0.25">
      <c r="A1012" t="str">
        <f t="shared" si="32"/>
        <v>26</v>
      </c>
      <c r="B1012" t="str">
        <f>"26.1101"</f>
        <v>26.1101</v>
      </c>
      <c r="C1012" t="s">
        <v>914</v>
      </c>
    </row>
    <row r="1013" spans="1:3" x14ac:dyDescent="0.25">
      <c r="A1013" t="str">
        <f t="shared" si="32"/>
        <v>26</v>
      </c>
      <c r="B1013" t="str">
        <f>"26.1102"</f>
        <v>26.1102</v>
      </c>
      <c r="C1013" t="s">
        <v>915</v>
      </c>
    </row>
    <row r="1014" spans="1:3" x14ac:dyDescent="0.25">
      <c r="A1014" t="str">
        <f t="shared" si="32"/>
        <v>26</v>
      </c>
      <c r="B1014" t="str">
        <f>"26.1103"</f>
        <v>26.1103</v>
      </c>
      <c r="C1014" t="s">
        <v>916</v>
      </c>
    </row>
    <row r="1015" spans="1:3" x14ac:dyDescent="0.25">
      <c r="A1015" t="str">
        <f t="shared" si="32"/>
        <v>26</v>
      </c>
      <c r="B1015" t="str">
        <f>"26.1104"</f>
        <v>26.1104</v>
      </c>
      <c r="C1015" t="s">
        <v>917</v>
      </c>
    </row>
    <row r="1016" spans="1:3" x14ac:dyDescent="0.25">
      <c r="A1016" t="str">
        <f t="shared" si="32"/>
        <v>26</v>
      </c>
      <c r="B1016" t="str">
        <f>"26.1199"</f>
        <v>26.1199</v>
      </c>
      <c r="C1016" t="s">
        <v>918</v>
      </c>
    </row>
    <row r="1017" spans="1:3" x14ac:dyDescent="0.25">
      <c r="A1017" t="str">
        <f t="shared" si="32"/>
        <v>26</v>
      </c>
      <c r="B1017" t="str">
        <f>"26.12"</f>
        <v>26.12</v>
      </c>
      <c r="C1017" t="s">
        <v>919</v>
      </c>
    </row>
    <row r="1018" spans="1:3" x14ac:dyDescent="0.25">
      <c r="A1018" t="str">
        <f t="shared" si="32"/>
        <v>26</v>
      </c>
      <c r="B1018" t="str">
        <f>"26.1201"</f>
        <v>26.1201</v>
      </c>
      <c r="C1018" t="s">
        <v>919</v>
      </c>
    </row>
    <row r="1019" spans="1:3" x14ac:dyDescent="0.25">
      <c r="A1019" t="str">
        <f t="shared" si="32"/>
        <v>26</v>
      </c>
      <c r="B1019" t="str">
        <f>"26.13"</f>
        <v>26.13</v>
      </c>
      <c r="C1019" t="s">
        <v>920</v>
      </c>
    </row>
    <row r="1020" spans="1:3" x14ac:dyDescent="0.25">
      <c r="A1020" t="str">
        <f t="shared" si="32"/>
        <v>26</v>
      </c>
      <c r="B1020" t="str">
        <f>"26.1301"</f>
        <v>26.1301</v>
      </c>
      <c r="C1020" t="s">
        <v>921</v>
      </c>
    </row>
    <row r="1021" spans="1:3" x14ac:dyDescent="0.25">
      <c r="A1021" t="str">
        <f t="shared" si="32"/>
        <v>26</v>
      </c>
      <c r="B1021" t="str">
        <f>"26.1302"</f>
        <v>26.1302</v>
      </c>
      <c r="C1021" t="s">
        <v>922</v>
      </c>
    </row>
    <row r="1022" spans="1:3" x14ac:dyDescent="0.25">
      <c r="A1022" t="str">
        <f t="shared" si="32"/>
        <v>26</v>
      </c>
      <c r="B1022" t="str">
        <f>"26.1303"</f>
        <v>26.1303</v>
      </c>
      <c r="C1022" t="s">
        <v>923</v>
      </c>
    </row>
    <row r="1023" spans="1:3" x14ac:dyDescent="0.25">
      <c r="A1023" t="str">
        <f t="shared" si="32"/>
        <v>26</v>
      </c>
      <c r="B1023" t="str">
        <f>"26.1304"</f>
        <v>26.1304</v>
      </c>
      <c r="C1023" t="s">
        <v>924</v>
      </c>
    </row>
    <row r="1024" spans="1:3" x14ac:dyDescent="0.25">
      <c r="A1024" t="str">
        <f t="shared" si="32"/>
        <v>26</v>
      </c>
      <c r="B1024" t="str">
        <f>"26.1305"</f>
        <v>26.1305</v>
      </c>
      <c r="C1024" t="s">
        <v>925</v>
      </c>
    </row>
    <row r="1025" spans="1:3" x14ac:dyDescent="0.25">
      <c r="A1025" t="str">
        <f t="shared" si="32"/>
        <v>26</v>
      </c>
      <c r="B1025" t="str">
        <f>"26.1306"</f>
        <v>26.1306</v>
      </c>
      <c r="C1025" t="s">
        <v>926</v>
      </c>
    </row>
    <row r="1026" spans="1:3" x14ac:dyDescent="0.25">
      <c r="A1026" t="str">
        <f t="shared" si="32"/>
        <v>26</v>
      </c>
      <c r="B1026" t="str">
        <f>"26.1307"</f>
        <v>26.1307</v>
      </c>
      <c r="C1026" t="s">
        <v>927</v>
      </c>
    </row>
    <row r="1027" spans="1:3" x14ac:dyDescent="0.25">
      <c r="A1027" t="str">
        <f t="shared" si="32"/>
        <v>26</v>
      </c>
      <c r="B1027" t="str">
        <f>"26.1308"</f>
        <v>26.1308</v>
      </c>
      <c r="C1027" t="s">
        <v>928</v>
      </c>
    </row>
    <row r="1028" spans="1:3" x14ac:dyDescent="0.25">
      <c r="A1028" t="str">
        <f t="shared" si="32"/>
        <v>26</v>
      </c>
      <c r="B1028" t="str">
        <f>"26.1309"</f>
        <v>26.1309</v>
      </c>
      <c r="C1028" t="s">
        <v>929</v>
      </c>
    </row>
    <row r="1029" spans="1:3" x14ac:dyDescent="0.25">
      <c r="A1029" t="str">
        <f t="shared" si="32"/>
        <v>26</v>
      </c>
      <c r="B1029" t="str">
        <f>"26.1310"</f>
        <v>26.1310</v>
      </c>
      <c r="C1029" t="s">
        <v>930</v>
      </c>
    </row>
    <row r="1030" spans="1:3" x14ac:dyDescent="0.25">
      <c r="A1030" t="str">
        <f t="shared" si="32"/>
        <v>26</v>
      </c>
      <c r="B1030" t="str">
        <f>"26.1311"</f>
        <v>26.1311</v>
      </c>
      <c r="C1030" t="s">
        <v>931</v>
      </c>
    </row>
    <row r="1031" spans="1:3" x14ac:dyDescent="0.25">
      <c r="A1031" t="str">
        <f t="shared" ref="A1031:A1041" si="33">"26"</f>
        <v>26</v>
      </c>
      <c r="B1031" t="str">
        <f>"26.1399"</f>
        <v>26.1399</v>
      </c>
      <c r="C1031" t="s">
        <v>932</v>
      </c>
    </row>
    <row r="1032" spans="1:3" x14ac:dyDescent="0.25">
      <c r="A1032" t="str">
        <f t="shared" si="33"/>
        <v>26</v>
      </c>
      <c r="B1032" t="str">
        <f>"26.14"</f>
        <v>26.14</v>
      </c>
      <c r="C1032" t="s">
        <v>933</v>
      </c>
    </row>
    <row r="1033" spans="1:3" x14ac:dyDescent="0.25">
      <c r="A1033" t="str">
        <f t="shared" si="33"/>
        <v>26</v>
      </c>
      <c r="B1033" t="str">
        <f>"26.1401"</f>
        <v>26.1401</v>
      </c>
      <c r="C1033" t="s">
        <v>933</v>
      </c>
    </row>
    <row r="1034" spans="1:3" x14ac:dyDescent="0.25">
      <c r="A1034" t="str">
        <f t="shared" si="33"/>
        <v>26</v>
      </c>
      <c r="B1034" t="str">
        <f>"26.15"</f>
        <v>26.15</v>
      </c>
      <c r="C1034" t="s">
        <v>934</v>
      </c>
    </row>
    <row r="1035" spans="1:3" x14ac:dyDescent="0.25">
      <c r="A1035" t="str">
        <f t="shared" si="33"/>
        <v>26</v>
      </c>
      <c r="B1035" t="str">
        <f>"26.1501"</f>
        <v>26.1501</v>
      </c>
      <c r="C1035" t="s">
        <v>935</v>
      </c>
    </row>
    <row r="1036" spans="1:3" x14ac:dyDescent="0.25">
      <c r="A1036" t="str">
        <f t="shared" si="33"/>
        <v>26</v>
      </c>
      <c r="B1036" t="str">
        <f>"26.1502"</f>
        <v>26.1502</v>
      </c>
      <c r="C1036" t="s">
        <v>936</v>
      </c>
    </row>
    <row r="1037" spans="1:3" x14ac:dyDescent="0.25">
      <c r="A1037" t="str">
        <f t="shared" si="33"/>
        <v>26</v>
      </c>
      <c r="B1037" t="str">
        <f>"26.1503"</f>
        <v>26.1503</v>
      </c>
      <c r="C1037" t="s">
        <v>937</v>
      </c>
    </row>
    <row r="1038" spans="1:3" x14ac:dyDescent="0.25">
      <c r="A1038" t="str">
        <f t="shared" si="33"/>
        <v>26</v>
      </c>
      <c r="B1038" t="str">
        <f>"26.1504"</f>
        <v>26.1504</v>
      </c>
      <c r="C1038" t="s">
        <v>938</v>
      </c>
    </row>
    <row r="1039" spans="1:3" x14ac:dyDescent="0.25">
      <c r="A1039" t="str">
        <f t="shared" si="33"/>
        <v>26</v>
      </c>
      <c r="B1039" t="str">
        <f>"26.1599"</f>
        <v>26.1599</v>
      </c>
      <c r="C1039" t="s">
        <v>939</v>
      </c>
    </row>
    <row r="1040" spans="1:3" x14ac:dyDescent="0.25">
      <c r="A1040" t="str">
        <f t="shared" si="33"/>
        <v>26</v>
      </c>
      <c r="B1040" t="str">
        <f>"26.99"</f>
        <v>26.99</v>
      </c>
      <c r="C1040" t="s">
        <v>940</v>
      </c>
    </row>
    <row r="1041" spans="1:3" x14ac:dyDescent="0.25">
      <c r="A1041" t="str">
        <f t="shared" si="33"/>
        <v>26</v>
      </c>
      <c r="B1041" t="str">
        <f>"26.9999"</f>
        <v>26.9999</v>
      </c>
      <c r="C1041" t="s">
        <v>940</v>
      </c>
    </row>
    <row r="1042" spans="1:3" x14ac:dyDescent="0.25">
      <c r="A1042" t="str">
        <f>"27"</f>
        <v>27</v>
      </c>
      <c r="B1042" t="str">
        <f>"27"</f>
        <v>27</v>
      </c>
      <c r="C1042" t="s">
        <v>941</v>
      </c>
    </row>
    <row r="1043" spans="1:3" x14ac:dyDescent="0.25">
      <c r="A1043" t="str">
        <f t="shared" ref="A1043:A1065" si="34">"27"</f>
        <v>27</v>
      </c>
      <c r="B1043" t="str">
        <f>"27.01"</f>
        <v>27.01</v>
      </c>
      <c r="C1043" t="s">
        <v>942</v>
      </c>
    </row>
    <row r="1044" spans="1:3" x14ac:dyDescent="0.25">
      <c r="A1044" t="str">
        <f t="shared" si="34"/>
        <v>27</v>
      </c>
      <c r="B1044" t="str">
        <f>"27.0101"</f>
        <v>27.0101</v>
      </c>
      <c r="C1044" t="s">
        <v>943</v>
      </c>
    </row>
    <row r="1045" spans="1:3" x14ac:dyDescent="0.25">
      <c r="A1045" t="str">
        <f t="shared" si="34"/>
        <v>27</v>
      </c>
      <c r="B1045" t="str">
        <f>"27.0102"</f>
        <v>27.0102</v>
      </c>
      <c r="C1045" t="s">
        <v>944</v>
      </c>
    </row>
    <row r="1046" spans="1:3" x14ac:dyDescent="0.25">
      <c r="A1046" t="str">
        <f t="shared" si="34"/>
        <v>27</v>
      </c>
      <c r="B1046" t="str">
        <f>"27.0103"</f>
        <v>27.0103</v>
      </c>
      <c r="C1046" t="s">
        <v>945</v>
      </c>
    </row>
    <row r="1047" spans="1:3" x14ac:dyDescent="0.25">
      <c r="A1047" t="str">
        <f t="shared" si="34"/>
        <v>27</v>
      </c>
      <c r="B1047" t="str">
        <f>"27.0104"</f>
        <v>27.0104</v>
      </c>
      <c r="C1047" t="s">
        <v>946</v>
      </c>
    </row>
    <row r="1048" spans="1:3" x14ac:dyDescent="0.25">
      <c r="A1048" t="str">
        <f t="shared" si="34"/>
        <v>27</v>
      </c>
      <c r="B1048" t="str">
        <f>"27.0105"</f>
        <v>27.0105</v>
      </c>
      <c r="C1048" t="s">
        <v>947</v>
      </c>
    </row>
    <row r="1049" spans="1:3" x14ac:dyDescent="0.25">
      <c r="A1049" t="str">
        <f t="shared" si="34"/>
        <v>27</v>
      </c>
      <c r="B1049" t="str">
        <f>"27.0199"</f>
        <v>27.0199</v>
      </c>
      <c r="C1049" t="s">
        <v>948</v>
      </c>
    </row>
    <row r="1050" spans="1:3" x14ac:dyDescent="0.25">
      <c r="A1050" t="str">
        <f t="shared" si="34"/>
        <v>27</v>
      </c>
      <c r="B1050" t="str">
        <f>"27.03"</f>
        <v>27.03</v>
      </c>
      <c r="C1050" t="s">
        <v>949</v>
      </c>
    </row>
    <row r="1051" spans="1:3" x14ac:dyDescent="0.25">
      <c r="A1051" t="str">
        <f t="shared" si="34"/>
        <v>27</v>
      </c>
      <c r="B1051" t="str">
        <f>"27.0301"</f>
        <v>27.0301</v>
      </c>
      <c r="C1051" t="s">
        <v>950</v>
      </c>
    </row>
    <row r="1052" spans="1:3" x14ac:dyDescent="0.25">
      <c r="A1052" t="str">
        <f t="shared" si="34"/>
        <v>27</v>
      </c>
      <c r="B1052" t="str">
        <f>"27.0303"</f>
        <v>27.0303</v>
      </c>
      <c r="C1052" t="s">
        <v>951</v>
      </c>
    </row>
    <row r="1053" spans="1:3" x14ac:dyDescent="0.25">
      <c r="A1053" t="str">
        <f t="shared" si="34"/>
        <v>27</v>
      </c>
      <c r="B1053" t="str">
        <f>"27.0304"</f>
        <v>27.0304</v>
      </c>
      <c r="C1053" t="s">
        <v>952</v>
      </c>
    </row>
    <row r="1054" spans="1:3" x14ac:dyDescent="0.25">
      <c r="A1054" t="str">
        <f t="shared" si="34"/>
        <v>27</v>
      </c>
      <c r="B1054" t="str">
        <f>"27.0305"</f>
        <v>27.0305</v>
      </c>
      <c r="C1054" t="s">
        <v>953</v>
      </c>
    </row>
    <row r="1055" spans="1:3" x14ac:dyDescent="0.25">
      <c r="A1055" t="str">
        <f t="shared" si="34"/>
        <v>27</v>
      </c>
      <c r="B1055" t="str">
        <f>"27.0306"</f>
        <v>27.0306</v>
      </c>
      <c r="C1055" t="s">
        <v>954</v>
      </c>
    </row>
    <row r="1056" spans="1:3" x14ac:dyDescent="0.25">
      <c r="A1056" t="str">
        <f t="shared" si="34"/>
        <v>27</v>
      </c>
      <c r="B1056" t="str">
        <f>"27.0399"</f>
        <v>27.0399</v>
      </c>
      <c r="C1056" t="s">
        <v>955</v>
      </c>
    </row>
    <row r="1057" spans="1:3" x14ac:dyDescent="0.25">
      <c r="A1057" t="str">
        <f t="shared" si="34"/>
        <v>27</v>
      </c>
      <c r="B1057" t="str">
        <f>"27.05"</f>
        <v>27.05</v>
      </c>
      <c r="C1057" t="s">
        <v>956</v>
      </c>
    </row>
    <row r="1058" spans="1:3" x14ac:dyDescent="0.25">
      <c r="A1058" t="str">
        <f t="shared" si="34"/>
        <v>27</v>
      </c>
      <c r="B1058" t="str">
        <f>"27.0501"</f>
        <v>27.0501</v>
      </c>
      <c r="C1058" t="s">
        <v>957</v>
      </c>
    </row>
    <row r="1059" spans="1:3" x14ac:dyDescent="0.25">
      <c r="A1059" t="str">
        <f t="shared" si="34"/>
        <v>27</v>
      </c>
      <c r="B1059" t="str">
        <f>"27.0502"</f>
        <v>27.0502</v>
      </c>
      <c r="C1059" t="s">
        <v>958</v>
      </c>
    </row>
    <row r="1060" spans="1:3" x14ac:dyDescent="0.25">
      <c r="A1060" t="str">
        <f t="shared" si="34"/>
        <v>27</v>
      </c>
      <c r="B1060" t="str">
        <f>"27.0503"</f>
        <v>27.0503</v>
      </c>
      <c r="C1060" t="s">
        <v>959</v>
      </c>
    </row>
    <row r="1061" spans="1:3" x14ac:dyDescent="0.25">
      <c r="A1061" t="str">
        <f t="shared" si="34"/>
        <v>27</v>
      </c>
      <c r="B1061" t="str">
        <f>"27.0599"</f>
        <v>27.0599</v>
      </c>
      <c r="C1061" t="s">
        <v>960</v>
      </c>
    </row>
    <row r="1062" spans="1:3" x14ac:dyDescent="0.25">
      <c r="A1062" t="str">
        <f t="shared" si="34"/>
        <v>27</v>
      </c>
      <c r="B1062" t="str">
        <f>"27.06"</f>
        <v>27.06</v>
      </c>
      <c r="C1062" t="s">
        <v>961</v>
      </c>
    </row>
    <row r="1063" spans="1:3" x14ac:dyDescent="0.25">
      <c r="A1063" t="str">
        <f t="shared" si="34"/>
        <v>27</v>
      </c>
      <c r="B1063" t="str">
        <f>"27.0601"</f>
        <v>27.0601</v>
      </c>
      <c r="C1063" t="s">
        <v>962</v>
      </c>
    </row>
    <row r="1064" spans="1:3" x14ac:dyDescent="0.25">
      <c r="A1064" t="str">
        <f t="shared" si="34"/>
        <v>27</v>
      </c>
      <c r="B1064" t="str">
        <f>"27.99"</f>
        <v>27.99</v>
      </c>
      <c r="C1064" t="s">
        <v>963</v>
      </c>
    </row>
    <row r="1065" spans="1:3" x14ac:dyDescent="0.25">
      <c r="A1065" t="str">
        <f t="shared" si="34"/>
        <v>27</v>
      </c>
      <c r="B1065" t="str">
        <f>"27.9999"</f>
        <v>27.9999</v>
      </c>
      <c r="C1065" t="s">
        <v>963</v>
      </c>
    </row>
    <row r="1066" spans="1:3" x14ac:dyDescent="0.25">
      <c r="A1066" t="str">
        <f>"28"</f>
        <v>28</v>
      </c>
      <c r="B1066" t="str">
        <f>"28"</f>
        <v>28</v>
      </c>
      <c r="C1066" t="s">
        <v>964</v>
      </c>
    </row>
    <row r="1067" spans="1:3" x14ac:dyDescent="0.25">
      <c r="A1067" t="str">
        <f t="shared" ref="A1067:A1099" si="35">"28"</f>
        <v>28</v>
      </c>
      <c r="B1067" t="str">
        <f>"28.01"</f>
        <v>28.01</v>
      </c>
      <c r="C1067" t="s">
        <v>965</v>
      </c>
    </row>
    <row r="1068" spans="1:3" x14ac:dyDescent="0.25">
      <c r="A1068" t="str">
        <f t="shared" si="35"/>
        <v>28</v>
      </c>
      <c r="B1068" t="str">
        <f>"28.0101"</f>
        <v>28.0101</v>
      </c>
      <c r="C1068" t="s">
        <v>966</v>
      </c>
    </row>
    <row r="1069" spans="1:3" x14ac:dyDescent="0.25">
      <c r="A1069" t="str">
        <f t="shared" si="35"/>
        <v>28</v>
      </c>
      <c r="B1069" t="str">
        <f>"28.0199"</f>
        <v>28.0199</v>
      </c>
      <c r="C1069" t="s">
        <v>967</v>
      </c>
    </row>
    <row r="1070" spans="1:3" x14ac:dyDescent="0.25">
      <c r="A1070" t="str">
        <f t="shared" si="35"/>
        <v>28</v>
      </c>
      <c r="B1070" t="str">
        <f>"28.03"</f>
        <v>28.03</v>
      </c>
      <c r="C1070" t="s">
        <v>968</v>
      </c>
    </row>
    <row r="1071" spans="1:3" x14ac:dyDescent="0.25">
      <c r="A1071" t="str">
        <f t="shared" si="35"/>
        <v>28</v>
      </c>
      <c r="B1071" t="str">
        <f>"28.0301"</f>
        <v>28.0301</v>
      </c>
      <c r="C1071" t="s">
        <v>969</v>
      </c>
    </row>
    <row r="1072" spans="1:3" x14ac:dyDescent="0.25">
      <c r="A1072" t="str">
        <f t="shared" si="35"/>
        <v>28</v>
      </c>
      <c r="B1072" t="str">
        <f>"28.0399"</f>
        <v>28.0399</v>
      </c>
      <c r="C1072" t="s">
        <v>970</v>
      </c>
    </row>
    <row r="1073" spans="1:3" x14ac:dyDescent="0.25">
      <c r="A1073" t="str">
        <f t="shared" si="35"/>
        <v>28</v>
      </c>
      <c r="B1073" t="str">
        <f>"28.04"</f>
        <v>28.04</v>
      </c>
      <c r="C1073" t="s">
        <v>971</v>
      </c>
    </row>
    <row r="1074" spans="1:3" x14ac:dyDescent="0.25">
      <c r="A1074" t="str">
        <f t="shared" si="35"/>
        <v>28</v>
      </c>
      <c r="B1074" t="str">
        <f>"28.0401"</f>
        <v>28.0401</v>
      </c>
      <c r="C1074" t="s">
        <v>972</v>
      </c>
    </row>
    <row r="1075" spans="1:3" x14ac:dyDescent="0.25">
      <c r="A1075" t="str">
        <f t="shared" si="35"/>
        <v>28</v>
      </c>
      <c r="B1075" t="str">
        <f>"28.0499"</f>
        <v>28.0499</v>
      </c>
      <c r="C1075" t="s">
        <v>973</v>
      </c>
    </row>
    <row r="1076" spans="1:3" x14ac:dyDescent="0.25">
      <c r="A1076" t="str">
        <f t="shared" si="35"/>
        <v>28</v>
      </c>
      <c r="B1076" t="str">
        <f>"28.05"</f>
        <v>28.05</v>
      </c>
      <c r="C1076" t="s">
        <v>974</v>
      </c>
    </row>
    <row r="1077" spans="1:3" x14ac:dyDescent="0.25">
      <c r="A1077" t="str">
        <f t="shared" si="35"/>
        <v>28</v>
      </c>
      <c r="B1077" t="str">
        <f>"28.0501"</f>
        <v>28.0501</v>
      </c>
      <c r="C1077" t="s">
        <v>975</v>
      </c>
    </row>
    <row r="1078" spans="1:3" x14ac:dyDescent="0.25">
      <c r="A1078" t="str">
        <f t="shared" si="35"/>
        <v>28</v>
      </c>
      <c r="B1078" t="str">
        <f>"28.0502"</f>
        <v>28.0502</v>
      </c>
      <c r="C1078" t="s">
        <v>976</v>
      </c>
    </row>
    <row r="1079" spans="1:3" x14ac:dyDescent="0.25">
      <c r="A1079" t="str">
        <f t="shared" si="35"/>
        <v>28</v>
      </c>
      <c r="B1079" t="str">
        <f>"28.0503"</f>
        <v>28.0503</v>
      </c>
      <c r="C1079" t="s">
        <v>977</v>
      </c>
    </row>
    <row r="1080" spans="1:3" x14ac:dyDescent="0.25">
      <c r="A1080" t="str">
        <f t="shared" si="35"/>
        <v>28</v>
      </c>
      <c r="B1080" t="str">
        <f>"28.0504"</f>
        <v>28.0504</v>
      </c>
      <c r="C1080" t="s">
        <v>978</v>
      </c>
    </row>
    <row r="1081" spans="1:3" x14ac:dyDescent="0.25">
      <c r="A1081" t="str">
        <f t="shared" si="35"/>
        <v>28</v>
      </c>
      <c r="B1081" t="str">
        <f>"28.0505"</f>
        <v>28.0505</v>
      </c>
      <c r="C1081" t="s">
        <v>979</v>
      </c>
    </row>
    <row r="1082" spans="1:3" x14ac:dyDescent="0.25">
      <c r="A1082" t="str">
        <f t="shared" si="35"/>
        <v>28</v>
      </c>
      <c r="B1082" t="str">
        <f>"28.0506"</f>
        <v>28.0506</v>
      </c>
      <c r="C1082" t="s">
        <v>980</v>
      </c>
    </row>
    <row r="1083" spans="1:3" x14ac:dyDescent="0.25">
      <c r="A1083" t="str">
        <f t="shared" si="35"/>
        <v>28</v>
      </c>
      <c r="B1083" t="str">
        <f>"28.0599"</f>
        <v>28.0599</v>
      </c>
      <c r="C1083" t="s">
        <v>981</v>
      </c>
    </row>
    <row r="1084" spans="1:3" x14ac:dyDescent="0.25">
      <c r="A1084" t="str">
        <f t="shared" si="35"/>
        <v>28</v>
      </c>
      <c r="B1084" t="str">
        <f>"28.06"</f>
        <v>28.06</v>
      </c>
      <c r="C1084" t="s">
        <v>982</v>
      </c>
    </row>
    <row r="1085" spans="1:3" x14ac:dyDescent="0.25">
      <c r="A1085" t="str">
        <f t="shared" si="35"/>
        <v>28</v>
      </c>
      <c r="B1085" t="str">
        <f>"28.0601"</f>
        <v>28.0601</v>
      </c>
      <c r="C1085" t="s">
        <v>983</v>
      </c>
    </row>
    <row r="1086" spans="1:3" x14ac:dyDescent="0.25">
      <c r="A1086" t="str">
        <f t="shared" si="35"/>
        <v>28</v>
      </c>
      <c r="B1086" t="str">
        <f>"28.0602"</f>
        <v>28.0602</v>
      </c>
      <c r="C1086" t="s">
        <v>984</v>
      </c>
    </row>
    <row r="1087" spans="1:3" x14ac:dyDescent="0.25">
      <c r="A1087" t="str">
        <f t="shared" si="35"/>
        <v>28</v>
      </c>
      <c r="B1087" t="str">
        <f>"28.0603"</f>
        <v>28.0603</v>
      </c>
      <c r="C1087" t="s">
        <v>985</v>
      </c>
    </row>
    <row r="1088" spans="1:3" x14ac:dyDescent="0.25">
      <c r="A1088" t="str">
        <f t="shared" si="35"/>
        <v>28</v>
      </c>
      <c r="B1088" t="str">
        <f>"28.0604"</f>
        <v>28.0604</v>
      </c>
      <c r="C1088" t="s">
        <v>986</v>
      </c>
    </row>
    <row r="1089" spans="1:3" x14ac:dyDescent="0.25">
      <c r="A1089" t="str">
        <f t="shared" si="35"/>
        <v>28</v>
      </c>
      <c r="B1089" t="str">
        <f>"28.0605"</f>
        <v>28.0605</v>
      </c>
      <c r="C1089" t="s">
        <v>987</v>
      </c>
    </row>
    <row r="1090" spans="1:3" x14ac:dyDescent="0.25">
      <c r="A1090" t="str">
        <f t="shared" si="35"/>
        <v>28</v>
      </c>
      <c r="B1090" t="str">
        <f>"28.0699"</f>
        <v>28.0699</v>
      </c>
      <c r="C1090" t="s">
        <v>988</v>
      </c>
    </row>
    <row r="1091" spans="1:3" x14ac:dyDescent="0.25">
      <c r="A1091" t="str">
        <f t="shared" si="35"/>
        <v>28</v>
      </c>
      <c r="B1091" t="str">
        <f>"28.07"</f>
        <v>28.07</v>
      </c>
      <c r="C1091" t="s">
        <v>989</v>
      </c>
    </row>
    <row r="1092" spans="1:3" x14ac:dyDescent="0.25">
      <c r="A1092" t="str">
        <f t="shared" si="35"/>
        <v>28</v>
      </c>
      <c r="B1092" t="str">
        <f>"28.0701"</f>
        <v>28.0701</v>
      </c>
      <c r="C1092" t="s">
        <v>990</v>
      </c>
    </row>
    <row r="1093" spans="1:3" x14ac:dyDescent="0.25">
      <c r="A1093" t="str">
        <f t="shared" si="35"/>
        <v>28</v>
      </c>
      <c r="B1093" t="str">
        <f>"28.0702"</f>
        <v>28.0702</v>
      </c>
      <c r="C1093" t="s">
        <v>991</v>
      </c>
    </row>
    <row r="1094" spans="1:3" x14ac:dyDescent="0.25">
      <c r="A1094" t="str">
        <f t="shared" si="35"/>
        <v>28</v>
      </c>
      <c r="B1094" t="str">
        <f>"28.0703"</f>
        <v>28.0703</v>
      </c>
      <c r="C1094" t="s">
        <v>992</v>
      </c>
    </row>
    <row r="1095" spans="1:3" x14ac:dyDescent="0.25">
      <c r="A1095" t="str">
        <f t="shared" si="35"/>
        <v>28</v>
      </c>
      <c r="B1095" t="str">
        <f>"28.0799"</f>
        <v>28.0799</v>
      </c>
      <c r="C1095" t="s">
        <v>993</v>
      </c>
    </row>
    <row r="1096" spans="1:3" x14ac:dyDescent="0.25">
      <c r="A1096" t="str">
        <f t="shared" si="35"/>
        <v>28</v>
      </c>
      <c r="B1096" t="str">
        <f>"28.08"</f>
        <v>28.08</v>
      </c>
      <c r="C1096" t="s">
        <v>31</v>
      </c>
    </row>
    <row r="1097" spans="1:3" x14ac:dyDescent="0.25">
      <c r="A1097" t="str">
        <f t="shared" si="35"/>
        <v>28</v>
      </c>
      <c r="B1097" t="str">
        <f>"28.0801"</f>
        <v>28.0801</v>
      </c>
      <c r="C1097" t="s">
        <v>31</v>
      </c>
    </row>
    <row r="1098" spans="1:3" x14ac:dyDescent="0.25">
      <c r="A1098" t="str">
        <f t="shared" si="35"/>
        <v>28</v>
      </c>
      <c r="B1098" t="str">
        <f>"28.99"</f>
        <v>28.99</v>
      </c>
      <c r="C1098" t="s">
        <v>994</v>
      </c>
    </row>
    <row r="1099" spans="1:3" x14ac:dyDescent="0.25">
      <c r="A1099" t="str">
        <f t="shared" si="35"/>
        <v>28</v>
      </c>
      <c r="B1099" t="str">
        <f>"28.9999"</f>
        <v>28.9999</v>
      </c>
      <c r="C1099" t="s">
        <v>994</v>
      </c>
    </row>
    <row r="1100" spans="1:3" x14ac:dyDescent="0.25">
      <c r="A1100" t="str">
        <f>"29"</f>
        <v>29</v>
      </c>
      <c r="B1100" t="str">
        <f>"29"</f>
        <v>29</v>
      </c>
      <c r="C1100" t="s">
        <v>995</v>
      </c>
    </row>
    <row r="1101" spans="1:3" x14ac:dyDescent="0.25">
      <c r="A1101" t="str">
        <f t="shared" ref="A1101:A1135" si="36">"29"</f>
        <v>29</v>
      </c>
      <c r="B1101" t="str">
        <f>"29.02"</f>
        <v>29.02</v>
      </c>
      <c r="C1101" t="s">
        <v>996</v>
      </c>
    </row>
    <row r="1102" spans="1:3" x14ac:dyDescent="0.25">
      <c r="A1102" t="str">
        <f t="shared" si="36"/>
        <v>29</v>
      </c>
      <c r="B1102" t="str">
        <f>"29.0201"</f>
        <v>29.0201</v>
      </c>
      <c r="C1102" t="s">
        <v>997</v>
      </c>
    </row>
    <row r="1103" spans="1:3" x14ac:dyDescent="0.25">
      <c r="A1103" t="str">
        <f t="shared" si="36"/>
        <v>29</v>
      </c>
      <c r="B1103" t="str">
        <f>"29.0202"</f>
        <v>29.0202</v>
      </c>
      <c r="C1103" t="s">
        <v>998</v>
      </c>
    </row>
    <row r="1104" spans="1:3" x14ac:dyDescent="0.25">
      <c r="A1104" t="str">
        <f t="shared" si="36"/>
        <v>29</v>
      </c>
      <c r="B1104" t="str">
        <f>"29.0203"</f>
        <v>29.0203</v>
      </c>
      <c r="C1104" t="s">
        <v>999</v>
      </c>
    </row>
    <row r="1105" spans="1:3" x14ac:dyDescent="0.25">
      <c r="A1105" t="str">
        <f t="shared" si="36"/>
        <v>29</v>
      </c>
      <c r="B1105" t="str">
        <f>"29.0204"</f>
        <v>29.0204</v>
      </c>
      <c r="C1105" t="s">
        <v>1000</v>
      </c>
    </row>
    <row r="1106" spans="1:3" x14ac:dyDescent="0.25">
      <c r="A1106" t="str">
        <f t="shared" si="36"/>
        <v>29</v>
      </c>
      <c r="B1106" t="str">
        <f>"29.0205"</f>
        <v>29.0205</v>
      </c>
      <c r="C1106" t="s">
        <v>1001</v>
      </c>
    </row>
    <row r="1107" spans="1:3" x14ac:dyDescent="0.25">
      <c r="A1107" t="str">
        <f t="shared" si="36"/>
        <v>29</v>
      </c>
      <c r="B1107" t="str">
        <f>"29.0206"</f>
        <v>29.0206</v>
      </c>
      <c r="C1107" t="s">
        <v>1002</v>
      </c>
    </row>
    <row r="1108" spans="1:3" x14ac:dyDescent="0.25">
      <c r="A1108" t="str">
        <f t="shared" si="36"/>
        <v>29</v>
      </c>
      <c r="B1108" t="str">
        <f>"29.0207"</f>
        <v>29.0207</v>
      </c>
      <c r="C1108" t="s">
        <v>1003</v>
      </c>
    </row>
    <row r="1109" spans="1:3" x14ac:dyDescent="0.25">
      <c r="A1109" t="str">
        <f t="shared" si="36"/>
        <v>29</v>
      </c>
      <c r="B1109" t="str">
        <f>"29.0299"</f>
        <v>29.0299</v>
      </c>
      <c r="C1109" t="s">
        <v>1004</v>
      </c>
    </row>
    <row r="1110" spans="1:3" x14ac:dyDescent="0.25">
      <c r="A1110" t="str">
        <f t="shared" si="36"/>
        <v>29</v>
      </c>
      <c r="B1110" t="str">
        <f>"29.03"</f>
        <v>29.03</v>
      </c>
      <c r="C1110" t="s">
        <v>1005</v>
      </c>
    </row>
    <row r="1111" spans="1:3" x14ac:dyDescent="0.25">
      <c r="A1111" t="str">
        <f t="shared" si="36"/>
        <v>29</v>
      </c>
      <c r="B1111" t="str">
        <f>"29.0301"</f>
        <v>29.0301</v>
      </c>
      <c r="C1111" t="s">
        <v>1006</v>
      </c>
    </row>
    <row r="1112" spans="1:3" x14ac:dyDescent="0.25">
      <c r="A1112" t="str">
        <f t="shared" si="36"/>
        <v>29</v>
      </c>
      <c r="B1112" t="str">
        <f>"29.0302"</f>
        <v>29.0302</v>
      </c>
      <c r="C1112" t="s">
        <v>1007</v>
      </c>
    </row>
    <row r="1113" spans="1:3" x14ac:dyDescent="0.25">
      <c r="A1113" t="str">
        <f t="shared" si="36"/>
        <v>29</v>
      </c>
      <c r="B1113" t="str">
        <f>"29.0303"</f>
        <v>29.0303</v>
      </c>
      <c r="C1113" t="s">
        <v>1008</v>
      </c>
    </row>
    <row r="1114" spans="1:3" x14ac:dyDescent="0.25">
      <c r="A1114" t="str">
        <f t="shared" si="36"/>
        <v>29</v>
      </c>
      <c r="B1114" t="str">
        <f>"29.0304"</f>
        <v>29.0304</v>
      </c>
      <c r="C1114" t="s">
        <v>1009</v>
      </c>
    </row>
    <row r="1115" spans="1:3" x14ac:dyDescent="0.25">
      <c r="A1115" t="str">
        <f t="shared" si="36"/>
        <v>29</v>
      </c>
      <c r="B1115" t="str">
        <f>"29.0305"</f>
        <v>29.0305</v>
      </c>
      <c r="C1115" t="s">
        <v>1010</v>
      </c>
    </row>
    <row r="1116" spans="1:3" x14ac:dyDescent="0.25">
      <c r="A1116" t="str">
        <f t="shared" si="36"/>
        <v>29</v>
      </c>
      <c r="B1116" t="str">
        <f>"29.0306"</f>
        <v>29.0306</v>
      </c>
      <c r="C1116" t="s">
        <v>1011</v>
      </c>
    </row>
    <row r="1117" spans="1:3" x14ac:dyDescent="0.25">
      <c r="A1117" t="str">
        <f t="shared" si="36"/>
        <v>29</v>
      </c>
      <c r="B1117" t="str">
        <f>"29.0307"</f>
        <v>29.0307</v>
      </c>
      <c r="C1117" t="s">
        <v>1012</v>
      </c>
    </row>
    <row r="1118" spans="1:3" x14ac:dyDescent="0.25">
      <c r="A1118" t="str">
        <f t="shared" si="36"/>
        <v>29</v>
      </c>
      <c r="B1118" t="str">
        <f>"29.0399"</f>
        <v>29.0399</v>
      </c>
      <c r="C1118" t="s">
        <v>1013</v>
      </c>
    </row>
    <row r="1119" spans="1:3" x14ac:dyDescent="0.25">
      <c r="A1119" t="str">
        <f t="shared" si="36"/>
        <v>29</v>
      </c>
      <c r="B1119" t="str">
        <f>"29.04"</f>
        <v>29.04</v>
      </c>
      <c r="C1119" t="s">
        <v>1014</v>
      </c>
    </row>
    <row r="1120" spans="1:3" x14ac:dyDescent="0.25">
      <c r="A1120" t="str">
        <f t="shared" si="36"/>
        <v>29</v>
      </c>
      <c r="B1120" t="str">
        <f>"29.0401"</f>
        <v>29.0401</v>
      </c>
      <c r="C1120" t="s">
        <v>1015</v>
      </c>
    </row>
    <row r="1121" spans="1:3" x14ac:dyDescent="0.25">
      <c r="A1121" t="str">
        <f t="shared" si="36"/>
        <v>29</v>
      </c>
      <c r="B1121" t="str">
        <f>"29.0402"</f>
        <v>29.0402</v>
      </c>
      <c r="C1121" t="s">
        <v>1016</v>
      </c>
    </row>
    <row r="1122" spans="1:3" x14ac:dyDescent="0.25">
      <c r="A1122" t="str">
        <f t="shared" si="36"/>
        <v>29</v>
      </c>
      <c r="B1122" t="str">
        <f>"29.0403"</f>
        <v>29.0403</v>
      </c>
      <c r="C1122" t="s">
        <v>1017</v>
      </c>
    </row>
    <row r="1123" spans="1:3" x14ac:dyDescent="0.25">
      <c r="A1123" t="str">
        <f t="shared" si="36"/>
        <v>29</v>
      </c>
      <c r="B1123" t="str">
        <f>"29.0404"</f>
        <v>29.0404</v>
      </c>
      <c r="C1123" t="s">
        <v>1018</v>
      </c>
    </row>
    <row r="1124" spans="1:3" x14ac:dyDescent="0.25">
      <c r="A1124" t="str">
        <f t="shared" si="36"/>
        <v>29</v>
      </c>
      <c r="B1124" t="str">
        <f>"29.0405"</f>
        <v>29.0405</v>
      </c>
      <c r="C1124" t="s">
        <v>1019</v>
      </c>
    </row>
    <row r="1125" spans="1:3" x14ac:dyDescent="0.25">
      <c r="A1125" t="str">
        <f t="shared" si="36"/>
        <v>29</v>
      </c>
      <c r="B1125" t="str">
        <f>"29.0406"</f>
        <v>29.0406</v>
      </c>
      <c r="C1125" t="s">
        <v>1020</v>
      </c>
    </row>
    <row r="1126" spans="1:3" x14ac:dyDescent="0.25">
      <c r="A1126" t="str">
        <f t="shared" si="36"/>
        <v>29</v>
      </c>
      <c r="B1126" t="str">
        <f>"29.0407"</f>
        <v>29.0407</v>
      </c>
      <c r="C1126" t="s">
        <v>1021</v>
      </c>
    </row>
    <row r="1127" spans="1:3" x14ac:dyDescent="0.25">
      <c r="A1127" t="str">
        <f t="shared" si="36"/>
        <v>29</v>
      </c>
      <c r="B1127" t="str">
        <f>"29.0408"</f>
        <v>29.0408</v>
      </c>
      <c r="C1127" t="s">
        <v>1022</v>
      </c>
    </row>
    <row r="1128" spans="1:3" x14ac:dyDescent="0.25">
      <c r="A1128" t="str">
        <f t="shared" si="36"/>
        <v>29</v>
      </c>
      <c r="B1128" t="str">
        <f>"29.0409"</f>
        <v>29.0409</v>
      </c>
      <c r="C1128" t="s">
        <v>1023</v>
      </c>
    </row>
    <row r="1129" spans="1:3" x14ac:dyDescent="0.25">
      <c r="A1129" t="str">
        <f t="shared" si="36"/>
        <v>29</v>
      </c>
      <c r="B1129" t="str">
        <f>"29.0499"</f>
        <v>29.0499</v>
      </c>
      <c r="C1129" t="s">
        <v>1024</v>
      </c>
    </row>
    <row r="1130" spans="1:3" x14ac:dyDescent="0.25">
      <c r="A1130" t="str">
        <f t="shared" si="36"/>
        <v>29</v>
      </c>
      <c r="B1130" t="str">
        <f>"29.05"</f>
        <v>29.05</v>
      </c>
      <c r="C1130" t="s">
        <v>31</v>
      </c>
    </row>
    <row r="1131" spans="1:3" x14ac:dyDescent="0.25">
      <c r="A1131" t="str">
        <f t="shared" si="36"/>
        <v>29</v>
      </c>
      <c r="B1131" t="str">
        <f>"29.0501"</f>
        <v>29.0501</v>
      </c>
      <c r="C1131" t="s">
        <v>31</v>
      </c>
    </row>
    <row r="1132" spans="1:3" x14ac:dyDescent="0.25">
      <c r="A1132" t="str">
        <f t="shared" si="36"/>
        <v>29</v>
      </c>
      <c r="B1132" t="str">
        <f>"29.06"</f>
        <v>29.06</v>
      </c>
      <c r="C1132" t="s">
        <v>1025</v>
      </c>
    </row>
    <row r="1133" spans="1:3" x14ac:dyDescent="0.25">
      <c r="A1133" t="str">
        <f t="shared" si="36"/>
        <v>29</v>
      </c>
      <c r="B1133" t="str">
        <f>"29.0601"</f>
        <v>29.0601</v>
      </c>
      <c r="C1133" t="s">
        <v>1025</v>
      </c>
    </row>
    <row r="1134" spans="1:3" x14ac:dyDescent="0.25">
      <c r="A1134" t="str">
        <f t="shared" si="36"/>
        <v>29</v>
      </c>
      <c r="B1134" t="str">
        <f>"29.99"</f>
        <v>29.99</v>
      </c>
      <c r="C1134" t="s">
        <v>1026</v>
      </c>
    </row>
    <row r="1135" spans="1:3" x14ac:dyDescent="0.25">
      <c r="A1135" t="str">
        <f t="shared" si="36"/>
        <v>29</v>
      </c>
      <c r="B1135" t="str">
        <f>"29.9999"</f>
        <v>29.9999</v>
      </c>
      <c r="C1135" t="s">
        <v>1026</v>
      </c>
    </row>
    <row r="1136" spans="1:3" x14ac:dyDescent="0.25">
      <c r="A1136" t="str">
        <f>"30"</f>
        <v>30</v>
      </c>
      <c r="B1136" t="str">
        <f>"30"</f>
        <v>30</v>
      </c>
      <c r="C1136" t="s">
        <v>1027</v>
      </c>
    </row>
    <row r="1137" spans="1:3" x14ac:dyDescent="0.25">
      <c r="A1137" t="str">
        <f t="shared" ref="A1137:A1168" si="37">"30"</f>
        <v>30</v>
      </c>
      <c r="B1137" t="str">
        <f>"30.00"</f>
        <v>30.00</v>
      </c>
      <c r="C1137" t="s">
        <v>1028</v>
      </c>
    </row>
    <row r="1138" spans="1:3" x14ac:dyDescent="0.25">
      <c r="A1138" t="str">
        <f t="shared" si="37"/>
        <v>30</v>
      </c>
      <c r="B1138" t="str">
        <f>"30.0000"</f>
        <v>30.0000</v>
      </c>
      <c r="C1138" t="s">
        <v>1028</v>
      </c>
    </row>
    <row r="1139" spans="1:3" x14ac:dyDescent="0.25">
      <c r="A1139" t="str">
        <f t="shared" si="37"/>
        <v>30</v>
      </c>
      <c r="B1139" t="str">
        <f>"30.0001"</f>
        <v>30.0001</v>
      </c>
      <c r="C1139" t="s">
        <v>1029</v>
      </c>
    </row>
    <row r="1140" spans="1:3" x14ac:dyDescent="0.25">
      <c r="A1140" t="str">
        <f t="shared" si="37"/>
        <v>30</v>
      </c>
      <c r="B1140" t="str">
        <f>"30.01"</f>
        <v>30.01</v>
      </c>
      <c r="C1140" t="s">
        <v>1030</v>
      </c>
    </row>
    <row r="1141" spans="1:3" x14ac:dyDescent="0.25">
      <c r="A1141" t="str">
        <f t="shared" si="37"/>
        <v>30</v>
      </c>
      <c r="B1141" t="str">
        <f>"30.0101"</f>
        <v>30.0101</v>
      </c>
      <c r="C1141" t="s">
        <v>1030</v>
      </c>
    </row>
    <row r="1142" spans="1:3" x14ac:dyDescent="0.25">
      <c r="A1142" t="str">
        <f t="shared" si="37"/>
        <v>30</v>
      </c>
      <c r="B1142" t="str">
        <f>"30.05"</f>
        <v>30.05</v>
      </c>
      <c r="C1142" t="s">
        <v>1031</v>
      </c>
    </row>
    <row r="1143" spans="1:3" x14ac:dyDescent="0.25">
      <c r="A1143" t="str">
        <f t="shared" si="37"/>
        <v>30</v>
      </c>
      <c r="B1143" t="str">
        <f>"30.0501"</f>
        <v>30.0501</v>
      </c>
      <c r="C1143" t="s">
        <v>1031</v>
      </c>
    </row>
    <row r="1144" spans="1:3" x14ac:dyDescent="0.25">
      <c r="A1144" t="str">
        <f t="shared" si="37"/>
        <v>30</v>
      </c>
      <c r="B1144" t="str">
        <f>"30.06"</f>
        <v>30.06</v>
      </c>
      <c r="C1144" t="s">
        <v>1032</v>
      </c>
    </row>
    <row r="1145" spans="1:3" x14ac:dyDescent="0.25">
      <c r="A1145" t="str">
        <f t="shared" si="37"/>
        <v>30</v>
      </c>
      <c r="B1145" t="str">
        <f>"30.0601"</f>
        <v>30.0601</v>
      </c>
      <c r="C1145" t="s">
        <v>1032</v>
      </c>
    </row>
    <row r="1146" spans="1:3" x14ac:dyDescent="0.25">
      <c r="A1146" t="str">
        <f t="shared" si="37"/>
        <v>30</v>
      </c>
      <c r="B1146" t="str">
        <f>"30.08"</f>
        <v>30.08</v>
      </c>
      <c r="C1146" t="s">
        <v>1033</v>
      </c>
    </row>
    <row r="1147" spans="1:3" x14ac:dyDescent="0.25">
      <c r="A1147" t="str">
        <f t="shared" si="37"/>
        <v>30</v>
      </c>
      <c r="B1147" t="str">
        <f>"30.0801"</f>
        <v>30.0801</v>
      </c>
      <c r="C1147" t="s">
        <v>1033</v>
      </c>
    </row>
    <row r="1148" spans="1:3" x14ac:dyDescent="0.25">
      <c r="A1148" t="str">
        <f t="shared" si="37"/>
        <v>30</v>
      </c>
      <c r="B1148" t="str">
        <f>"30.10"</f>
        <v>30.10</v>
      </c>
      <c r="C1148" t="s">
        <v>1034</v>
      </c>
    </row>
    <row r="1149" spans="1:3" x14ac:dyDescent="0.25">
      <c r="A1149" t="str">
        <f t="shared" si="37"/>
        <v>30</v>
      </c>
      <c r="B1149" t="str">
        <f>"30.1001"</f>
        <v>30.1001</v>
      </c>
      <c r="C1149" t="s">
        <v>1034</v>
      </c>
    </row>
    <row r="1150" spans="1:3" x14ac:dyDescent="0.25">
      <c r="A1150" t="str">
        <f t="shared" si="37"/>
        <v>30</v>
      </c>
      <c r="B1150" t="str">
        <f>"30.11"</f>
        <v>30.11</v>
      </c>
      <c r="C1150" t="s">
        <v>1035</v>
      </c>
    </row>
    <row r="1151" spans="1:3" x14ac:dyDescent="0.25">
      <c r="A1151" t="str">
        <f t="shared" si="37"/>
        <v>30</v>
      </c>
      <c r="B1151" t="str">
        <f>"30.1101"</f>
        <v>30.1101</v>
      </c>
      <c r="C1151" t="s">
        <v>1035</v>
      </c>
    </row>
    <row r="1152" spans="1:3" x14ac:dyDescent="0.25">
      <c r="A1152" t="str">
        <f t="shared" si="37"/>
        <v>30</v>
      </c>
      <c r="B1152" t="str">
        <f>"30.12"</f>
        <v>30.12</v>
      </c>
      <c r="C1152" t="s">
        <v>1036</v>
      </c>
    </row>
    <row r="1153" spans="1:3" x14ac:dyDescent="0.25">
      <c r="A1153" t="str">
        <f t="shared" si="37"/>
        <v>30</v>
      </c>
      <c r="B1153" t="str">
        <f>"30.1201"</f>
        <v>30.1201</v>
      </c>
      <c r="C1153" t="s">
        <v>1037</v>
      </c>
    </row>
    <row r="1154" spans="1:3" x14ac:dyDescent="0.25">
      <c r="A1154" t="str">
        <f t="shared" si="37"/>
        <v>30</v>
      </c>
      <c r="B1154" t="str">
        <f>"30.1202"</f>
        <v>30.1202</v>
      </c>
      <c r="C1154" t="s">
        <v>1038</v>
      </c>
    </row>
    <row r="1155" spans="1:3" x14ac:dyDescent="0.25">
      <c r="A1155" t="str">
        <f t="shared" si="37"/>
        <v>30</v>
      </c>
      <c r="B1155" t="str">
        <f>"30.1299"</f>
        <v>30.1299</v>
      </c>
      <c r="C1155" t="s">
        <v>1039</v>
      </c>
    </row>
    <row r="1156" spans="1:3" x14ac:dyDescent="0.25">
      <c r="A1156" t="str">
        <f t="shared" si="37"/>
        <v>30</v>
      </c>
      <c r="B1156" t="str">
        <f>"30.13"</f>
        <v>30.13</v>
      </c>
      <c r="C1156" t="s">
        <v>1040</v>
      </c>
    </row>
    <row r="1157" spans="1:3" x14ac:dyDescent="0.25">
      <c r="A1157" t="str">
        <f t="shared" si="37"/>
        <v>30</v>
      </c>
      <c r="B1157" t="str">
        <f>"30.1301"</f>
        <v>30.1301</v>
      </c>
      <c r="C1157" t="s">
        <v>1040</v>
      </c>
    </row>
    <row r="1158" spans="1:3" x14ac:dyDescent="0.25">
      <c r="A1158" t="str">
        <f t="shared" si="37"/>
        <v>30</v>
      </c>
      <c r="B1158" t="str">
        <f>"30.14"</f>
        <v>30.14</v>
      </c>
      <c r="C1158" t="s">
        <v>1041</v>
      </c>
    </row>
    <row r="1159" spans="1:3" x14ac:dyDescent="0.25">
      <c r="A1159" t="str">
        <f t="shared" si="37"/>
        <v>30</v>
      </c>
      <c r="B1159" t="str">
        <f>"30.1401"</f>
        <v>30.1401</v>
      </c>
      <c r="C1159" t="s">
        <v>1041</v>
      </c>
    </row>
    <row r="1160" spans="1:3" x14ac:dyDescent="0.25">
      <c r="A1160" t="str">
        <f t="shared" si="37"/>
        <v>30</v>
      </c>
      <c r="B1160" t="str">
        <f>"30.15"</f>
        <v>30.15</v>
      </c>
      <c r="C1160" t="s">
        <v>1042</v>
      </c>
    </row>
    <row r="1161" spans="1:3" x14ac:dyDescent="0.25">
      <c r="A1161" t="str">
        <f t="shared" si="37"/>
        <v>30</v>
      </c>
      <c r="B1161" t="str">
        <f>"30.1501"</f>
        <v>30.1501</v>
      </c>
      <c r="C1161" t="s">
        <v>1042</v>
      </c>
    </row>
    <row r="1162" spans="1:3" x14ac:dyDescent="0.25">
      <c r="A1162" t="str">
        <f t="shared" si="37"/>
        <v>30</v>
      </c>
      <c r="B1162" t="str">
        <f>"30.16"</f>
        <v>30.16</v>
      </c>
      <c r="C1162" t="s">
        <v>1043</v>
      </c>
    </row>
    <row r="1163" spans="1:3" x14ac:dyDescent="0.25">
      <c r="A1163" t="str">
        <f t="shared" si="37"/>
        <v>30</v>
      </c>
      <c r="B1163" t="str">
        <f>"30.1601"</f>
        <v>30.1601</v>
      </c>
      <c r="C1163" t="s">
        <v>1043</v>
      </c>
    </row>
    <row r="1164" spans="1:3" x14ac:dyDescent="0.25">
      <c r="A1164" t="str">
        <f t="shared" si="37"/>
        <v>30</v>
      </c>
      <c r="B1164" t="str">
        <f>"30.17"</f>
        <v>30.17</v>
      </c>
      <c r="C1164" t="s">
        <v>1044</v>
      </c>
    </row>
    <row r="1165" spans="1:3" x14ac:dyDescent="0.25">
      <c r="A1165" t="str">
        <f t="shared" si="37"/>
        <v>30</v>
      </c>
      <c r="B1165" t="str">
        <f>"30.1701"</f>
        <v>30.1701</v>
      </c>
      <c r="C1165" t="s">
        <v>1044</v>
      </c>
    </row>
    <row r="1166" spans="1:3" x14ac:dyDescent="0.25">
      <c r="A1166" t="str">
        <f t="shared" si="37"/>
        <v>30</v>
      </c>
      <c r="B1166" t="str">
        <f>"30.18"</f>
        <v>30.18</v>
      </c>
      <c r="C1166" t="s">
        <v>1045</v>
      </c>
    </row>
    <row r="1167" spans="1:3" x14ac:dyDescent="0.25">
      <c r="A1167" t="str">
        <f t="shared" si="37"/>
        <v>30</v>
      </c>
      <c r="B1167" t="str">
        <f>"30.1801"</f>
        <v>30.1801</v>
      </c>
      <c r="C1167" t="s">
        <v>1045</v>
      </c>
    </row>
    <row r="1168" spans="1:3" x14ac:dyDescent="0.25">
      <c r="A1168" t="str">
        <f t="shared" si="37"/>
        <v>30</v>
      </c>
      <c r="B1168" t="str">
        <f>"30.19"</f>
        <v>30.19</v>
      </c>
      <c r="C1168" t="s">
        <v>1046</v>
      </c>
    </row>
    <row r="1169" spans="1:3" x14ac:dyDescent="0.25">
      <c r="A1169" t="str">
        <f t="shared" ref="A1169:A1200" si="38">"30"</f>
        <v>30</v>
      </c>
      <c r="B1169" t="str">
        <f>"30.1901"</f>
        <v>30.1901</v>
      </c>
      <c r="C1169" t="s">
        <v>1046</v>
      </c>
    </row>
    <row r="1170" spans="1:3" x14ac:dyDescent="0.25">
      <c r="A1170" t="str">
        <f t="shared" si="38"/>
        <v>30</v>
      </c>
      <c r="B1170" t="str">
        <f>"30.20"</f>
        <v>30.20</v>
      </c>
      <c r="C1170" t="s">
        <v>1047</v>
      </c>
    </row>
    <row r="1171" spans="1:3" x14ac:dyDescent="0.25">
      <c r="A1171" t="str">
        <f t="shared" si="38"/>
        <v>30</v>
      </c>
      <c r="B1171" t="str">
        <f>"30.2001"</f>
        <v>30.2001</v>
      </c>
      <c r="C1171" t="s">
        <v>1047</v>
      </c>
    </row>
    <row r="1172" spans="1:3" x14ac:dyDescent="0.25">
      <c r="A1172" t="str">
        <f t="shared" si="38"/>
        <v>30</v>
      </c>
      <c r="B1172" t="str">
        <f>"30.21"</f>
        <v>30.21</v>
      </c>
      <c r="C1172" t="s">
        <v>1048</v>
      </c>
    </row>
    <row r="1173" spans="1:3" x14ac:dyDescent="0.25">
      <c r="A1173" t="str">
        <f t="shared" si="38"/>
        <v>30</v>
      </c>
      <c r="B1173" t="str">
        <f>"30.2101"</f>
        <v>30.2101</v>
      </c>
      <c r="C1173" t="s">
        <v>1048</v>
      </c>
    </row>
    <row r="1174" spans="1:3" x14ac:dyDescent="0.25">
      <c r="A1174" t="str">
        <f t="shared" si="38"/>
        <v>30</v>
      </c>
      <c r="B1174" t="str">
        <f>"30.22"</f>
        <v>30.22</v>
      </c>
      <c r="C1174" t="s">
        <v>1049</v>
      </c>
    </row>
    <row r="1175" spans="1:3" x14ac:dyDescent="0.25">
      <c r="A1175" t="str">
        <f t="shared" si="38"/>
        <v>30</v>
      </c>
      <c r="B1175" t="str">
        <f>"30.2201"</f>
        <v>30.2201</v>
      </c>
      <c r="C1175" t="s">
        <v>1050</v>
      </c>
    </row>
    <row r="1176" spans="1:3" x14ac:dyDescent="0.25">
      <c r="A1176" t="str">
        <f t="shared" si="38"/>
        <v>30</v>
      </c>
      <c r="B1176" t="str">
        <f>"30.2202"</f>
        <v>30.2202</v>
      </c>
      <c r="C1176" t="s">
        <v>1051</v>
      </c>
    </row>
    <row r="1177" spans="1:3" x14ac:dyDescent="0.25">
      <c r="A1177" t="str">
        <f t="shared" si="38"/>
        <v>30</v>
      </c>
      <c r="B1177" t="str">
        <f>"30.2299"</f>
        <v>30.2299</v>
      </c>
      <c r="C1177" t="s">
        <v>1052</v>
      </c>
    </row>
    <row r="1178" spans="1:3" x14ac:dyDescent="0.25">
      <c r="A1178" t="str">
        <f t="shared" si="38"/>
        <v>30</v>
      </c>
      <c r="B1178" t="str">
        <f>"30.23"</f>
        <v>30.23</v>
      </c>
      <c r="C1178" t="s">
        <v>1053</v>
      </c>
    </row>
    <row r="1179" spans="1:3" x14ac:dyDescent="0.25">
      <c r="A1179" t="str">
        <f t="shared" si="38"/>
        <v>30</v>
      </c>
      <c r="B1179" t="str">
        <f>"30.2301"</f>
        <v>30.2301</v>
      </c>
      <c r="C1179" t="s">
        <v>1053</v>
      </c>
    </row>
    <row r="1180" spans="1:3" x14ac:dyDescent="0.25">
      <c r="A1180" t="str">
        <f t="shared" si="38"/>
        <v>30</v>
      </c>
      <c r="B1180" t="str">
        <f>"30.25"</f>
        <v>30.25</v>
      </c>
      <c r="C1180" t="s">
        <v>1054</v>
      </c>
    </row>
    <row r="1181" spans="1:3" x14ac:dyDescent="0.25">
      <c r="A1181" t="str">
        <f t="shared" si="38"/>
        <v>30</v>
      </c>
      <c r="B1181" t="str">
        <f>"30.2501"</f>
        <v>30.2501</v>
      </c>
      <c r="C1181" t="s">
        <v>1055</v>
      </c>
    </row>
    <row r="1182" spans="1:3" x14ac:dyDescent="0.25">
      <c r="A1182" t="str">
        <f t="shared" si="38"/>
        <v>30</v>
      </c>
      <c r="B1182" t="str">
        <f>"30.2502"</f>
        <v>30.2502</v>
      </c>
      <c r="C1182" t="s">
        <v>1056</v>
      </c>
    </row>
    <row r="1183" spans="1:3" x14ac:dyDescent="0.25">
      <c r="A1183" t="str">
        <f t="shared" si="38"/>
        <v>30</v>
      </c>
      <c r="B1183" t="str">
        <f>"30.2599"</f>
        <v>30.2599</v>
      </c>
      <c r="C1183" t="s">
        <v>1057</v>
      </c>
    </row>
    <row r="1184" spans="1:3" x14ac:dyDescent="0.25">
      <c r="A1184" t="str">
        <f t="shared" si="38"/>
        <v>30</v>
      </c>
      <c r="B1184" t="str">
        <f>"30.26"</f>
        <v>30.26</v>
      </c>
      <c r="C1184" t="s">
        <v>1058</v>
      </c>
    </row>
    <row r="1185" spans="1:3" x14ac:dyDescent="0.25">
      <c r="A1185" t="str">
        <f t="shared" si="38"/>
        <v>30</v>
      </c>
      <c r="B1185" t="str">
        <f>"30.2601"</f>
        <v>30.2601</v>
      </c>
      <c r="C1185" t="s">
        <v>1058</v>
      </c>
    </row>
    <row r="1186" spans="1:3" x14ac:dyDescent="0.25">
      <c r="A1186" t="str">
        <f t="shared" si="38"/>
        <v>30</v>
      </c>
      <c r="B1186" t="str">
        <f>"30.27"</f>
        <v>30.27</v>
      </c>
      <c r="C1186" t="s">
        <v>1059</v>
      </c>
    </row>
    <row r="1187" spans="1:3" x14ac:dyDescent="0.25">
      <c r="A1187" t="str">
        <f t="shared" si="38"/>
        <v>30</v>
      </c>
      <c r="B1187" t="str">
        <f>"30.2701"</f>
        <v>30.2701</v>
      </c>
      <c r="C1187" t="s">
        <v>1059</v>
      </c>
    </row>
    <row r="1188" spans="1:3" x14ac:dyDescent="0.25">
      <c r="A1188" t="str">
        <f t="shared" si="38"/>
        <v>30</v>
      </c>
      <c r="B1188" t="str">
        <f>"30.28"</f>
        <v>30.28</v>
      </c>
      <c r="C1188" t="s">
        <v>1060</v>
      </c>
    </row>
    <row r="1189" spans="1:3" x14ac:dyDescent="0.25">
      <c r="A1189" t="str">
        <f t="shared" si="38"/>
        <v>30</v>
      </c>
      <c r="B1189" t="str">
        <f>"30.2801"</f>
        <v>30.2801</v>
      </c>
      <c r="C1189" t="s">
        <v>1060</v>
      </c>
    </row>
    <row r="1190" spans="1:3" x14ac:dyDescent="0.25">
      <c r="A1190" t="str">
        <f t="shared" si="38"/>
        <v>30</v>
      </c>
      <c r="B1190" t="str">
        <f>"30.29"</f>
        <v>30.29</v>
      </c>
      <c r="C1190" t="s">
        <v>1061</v>
      </c>
    </row>
    <row r="1191" spans="1:3" x14ac:dyDescent="0.25">
      <c r="A1191" t="str">
        <f t="shared" si="38"/>
        <v>30</v>
      </c>
      <c r="B1191" t="str">
        <f>"30.2901"</f>
        <v>30.2901</v>
      </c>
      <c r="C1191" t="s">
        <v>1061</v>
      </c>
    </row>
    <row r="1192" spans="1:3" x14ac:dyDescent="0.25">
      <c r="A1192" t="str">
        <f t="shared" si="38"/>
        <v>30</v>
      </c>
      <c r="B1192" t="str">
        <f>"30.30"</f>
        <v>30.30</v>
      </c>
      <c r="C1192" t="s">
        <v>1062</v>
      </c>
    </row>
    <row r="1193" spans="1:3" x14ac:dyDescent="0.25">
      <c r="A1193" t="str">
        <f t="shared" si="38"/>
        <v>30</v>
      </c>
      <c r="B1193" t="str">
        <f>"30.3001"</f>
        <v>30.3001</v>
      </c>
      <c r="C1193" t="s">
        <v>1062</v>
      </c>
    </row>
    <row r="1194" spans="1:3" x14ac:dyDescent="0.25">
      <c r="A1194" t="str">
        <f t="shared" si="38"/>
        <v>30</v>
      </c>
      <c r="B1194" t="str">
        <f>"30.31"</f>
        <v>30.31</v>
      </c>
      <c r="C1194" t="s">
        <v>1063</v>
      </c>
    </row>
    <row r="1195" spans="1:3" x14ac:dyDescent="0.25">
      <c r="A1195" t="str">
        <f t="shared" si="38"/>
        <v>30</v>
      </c>
      <c r="B1195" t="str">
        <f>"30.3101"</f>
        <v>30.3101</v>
      </c>
      <c r="C1195" t="s">
        <v>1063</v>
      </c>
    </row>
    <row r="1196" spans="1:3" x14ac:dyDescent="0.25">
      <c r="A1196" t="str">
        <f t="shared" si="38"/>
        <v>30</v>
      </c>
      <c r="B1196" t="str">
        <f>"30.32"</f>
        <v>30.32</v>
      </c>
      <c r="C1196" t="s">
        <v>1064</v>
      </c>
    </row>
    <row r="1197" spans="1:3" x14ac:dyDescent="0.25">
      <c r="A1197" t="str">
        <f t="shared" si="38"/>
        <v>30</v>
      </c>
      <c r="B1197" t="str">
        <f>"30.3201"</f>
        <v>30.3201</v>
      </c>
      <c r="C1197" t="s">
        <v>1064</v>
      </c>
    </row>
    <row r="1198" spans="1:3" x14ac:dyDescent="0.25">
      <c r="A1198" t="str">
        <f t="shared" si="38"/>
        <v>30</v>
      </c>
      <c r="B1198" t="str">
        <f>"30.33"</f>
        <v>30.33</v>
      </c>
      <c r="C1198" t="s">
        <v>1065</v>
      </c>
    </row>
    <row r="1199" spans="1:3" x14ac:dyDescent="0.25">
      <c r="A1199" t="str">
        <f t="shared" si="38"/>
        <v>30</v>
      </c>
      <c r="B1199" t="str">
        <f>"30.3301"</f>
        <v>30.3301</v>
      </c>
      <c r="C1199" t="s">
        <v>1065</v>
      </c>
    </row>
    <row r="1200" spans="1:3" x14ac:dyDescent="0.25">
      <c r="A1200" t="str">
        <f t="shared" si="38"/>
        <v>30</v>
      </c>
      <c r="B1200" t="str">
        <f>"30.34"</f>
        <v>30.34</v>
      </c>
      <c r="C1200" t="s">
        <v>1066</v>
      </c>
    </row>
    <row r="1201" spans="1:3" x14ac:dyDescent="0.25">
      <c r="A1201" t="str">
        <f t="shared" ref="A1201:A1232" si="39">"30"</f>
        <v>30</v>
      </c>
      <c r="B1201" t="str">
        <f>"30.3401"</f>
        <v>30.3401</v>
      </c>
      <c r="C1201" t="s">
        <v>1066</v>
      </c>
    </row>
    <row r="1202" spans="1:3" x14ac:dyDescent="0.25">
      <c r="A1202" t="str">
        <f t="shared" si="39"/>
        <v>30</v>
      </c>
      <c r="B1202" t="str">
        <f>"30.35"</f>
        <v>30.35</v>
      </c>
      <c r="C1202" t="s">
        <v>1067</v>
      </c>
    </row>
    <row r="1203" spans="1:3" x14ac:dyDescent="0.25">
      <c r="A1203" t="str">
        <f t="shared" si="39"/>
        <v>30</v>
      </c>
      <c r="B1203" t="str">
        <f>"30.3501"</f>
        <v>30.3501</v>
      </c>
      <c r="C1203" t="s">
        <v>1067</v>
      </c>
    </row>
    <row r="1204" spans="1:3" x14ac:dyDescent="0.25">
      <c r="A1204" t="str">
        <f t="shared" si="39"/>
        <v>30</v>
      </c>
      <c r="B1204" t="str">
        <f>"30.36"</f>
        <v>30.36</v>
      </c>
      <c r="C1204" t="s">
        <v>1068</v>
      </c>
    </row>
    <row r="1205" spans="1:3" x14ac:dyDescent="0.25">
      <c r="A1205" t="str">
        <f t="shared" si="39"/>
        <v>30</v>
      </c>
      <c r="B1205" t="str">
        <f>"30.3601"</f>
        <v>30.3601</v>
      </c>
      <c r="C1205" t="s">
        <v>1068</v>
      </c>
    </row>
    <row r="1206" spans="1:3" x14ac:dyDescent="0.25">
      <c r="A1206" t="str">
        <f t="shared" si="39"/>
        <v>30</v>
      </c>
      <c r="B1206" t="str">
        <f>"30.37"</f>
        <v>30.37</v>
      </c>
      <c r="C1206" t="s">
        <v>1069</v>
      </c>
    </row>
    <row r="1207" spans="1:3" x14ac:dyDescent="0.25">
      <c r="A1207" t="str">
        <f t="shared" si="39"/>
        <v>30</v>
      </c>
      <c r="B1207" t="str">
        <f>"30.3701"</f>
        <v>30.3701</v>
      </c>
      <c r="C1207" t="s">
        <v>1069</v>
      </c>
    </row>
    <row r="1208" spans="1:3" x14ac:dyDescent="0.25">
      <c r="A1208" t="str">
        <f t="shared" si="39"/>
        <v>30</v>
      </c>
      <c r="B1208" t="str">
        <f>"30.38"</f>
        <v>30.38</v>
      </c>
      <c r="C1208" t="s">
        <v>1070</v>
      </c>
    </row>
    <row r="1209" spans="1:3" x14ac:dyDescent="0.25">
      <c r="A1209" t="str">
        <f t="shared" si="39"/>
        <v>30</v>
      </c>
      <c r="B1209" t="str">
        <f>"30.3801"</f>
        <v>30.3801</v>
      </c>
      <c r="C1209" t="s">
        <v>1070</v>
      </c>
    </row>
    <row r="1210" spans="1:3" x14ac:dyDescent="0.25">
      <c r="A1210" t="str">
        <f t="shared" si="39"/>
        <v>30</v>
      </c>
      <c r="B1210" t="str">
        <f>"30.39"</f>
        <v>30.39</v>
      </c>
      <c r="C1210" t="s">
        <v>1071</v>
      </c>
    </row>
    <row r="1211" spans="1:3" x14ac:dyDescent="0.25">
      <c r="A1211" t="str">
        <f t="shared" si="39"/>
        <v>30</v>
      </c>
      <c r="B1211" t="str">
        <f>"30.3901"</f>
        <v>30.3901</v>
      </c>
      <c r="C1211" t="s">
        <v>1071</v>
      </c>
    </row>
    <row r="1212" spans="1:3" x14ac:dyDescent="0.25">
      <c r="A1212" t="str">
        <f t="shared" si="39"/>
        <v>30</v>
      </c>
      <c r="B1212" t="str">
        <f>"30.40"</f>
        <v>30.40</v>
      </c>
      <c r="C1212" t="s">
        <v>1072</v>
      </c>
    </row>
    <row r="1213" spans="1:3" x14ac:dyDescent="0.25">
      <c r="A1213" t="str">
        <f t="shared" si="39"/>
        <v>30</v>
      </c>
      <c r="B1213" t="str">
        <f>"30.4001"</f>
        <v>30.4001</v>
      </c>
      <c r="C1213" t="s">
        <v>1072</v>
      </c>
    </row>
    <row r="1214" spans="1:3" x14ac:dyDescent="0.25">
      <c r="A1214" t="str">
        <f t="shared" si="39"/>
        <v>30</v>
      </c>
      <c r="B1214" t="str">
        <f>"30.41"</f>
        <v>30.41</v>
      </c>
      <c r="C1214" t="s">
        <v>1073</v>
      </c>
    </row>
    <row r="1215" spans="1:3" x14ac:dyDescent="0.25">
      <c r="A1215" t="str">
        <f t="shared" si="39"/>
        <v>30</v>
      </c>
      <c r="B1215" t="str">
        <f>"30.4101"</f>
        <v>30.4101</v>
      </c>
      <c r="C1215" t="s">
        <v>1073</v>
      </c>
    </row>
    <row r="1216" spans="1:3" x14ac:dyDescent="0.25">
      <c r="A1216" t="str">
        <f t="shared" si="39"/>
        <v>30</v>
      </c>
      <c r="B1216" t="str">
        <f>"30.42"</f>
        <v>30.42</v>
      </c>
      <c r="C1216" t="s">
        <v>1074</v>
      </c>
    </row>
    <row r="1217" spans="1:3" x14ac:dyDescent="0.25">
      <c r="A1217" t="str">
        <f t="shared" si="39"/>
        <v>30</v>
      </c>
      <c r="B1217" t="str">
        <f>"30.4201"</f>
        <v>30.4201</v>
      </c>
      <c r="C1217" t="s">
        <v>1074</v>
      </c>
    </row>
    <row r="1218" spans="1:3" x14ac:dyDescent="0.25">
      <c r="A1218" t="str">
        <f t="shared" si="39"/>
        <v>30</v>
      </c>
      <c r="B1218" t="str">
        <f>"30.43"</f>
        <v>30.43</v>
      </c>
      <c r="C1218" t="s">
        <v>1075</v>
      </c>
    </row>
    <row r="1219" spans="1:3" x14ac:dyDescent="0.25">
      <c r="A1219" t="str">
        <f t="shared" si="39"/>
        <v>30</v>
      </c>
      <c r="B1219" t="str">
        <f>"30.4301"</f>
        <v>30.4301</v>
      </c>
      <c r="C1219" t="s">
        <v>1075</v>
      </c>
    </row>
    <row r="1220" spans="1:3" x14ac:dyDescent="0.25">
      <c r="A1220" t="str">
        <f t="shared" si="39"/>
        <v>30</v>
      </c>
      <c r="B1220" t="str">
        <f>"30.44"</f>
        <v>30.44</v>
      </c>
      <c r="C1220" t="s">
        <v>1076</v>
      </c>
    </row>
    <row r="1221" spans="1:3" x14ac:dyDescent="0.25">
      <c r="A1221" t="str">
        <f t="shared" si="39"/>
        <v>30</v>
      </c>
      <c r="B1221" t="str">
        <f>"30.4401"</f>
        <v>30.4401</v>
      </c>
      <c r="C1221" t="s">
        <v>1076</v>
      </c>
    </row>
    <row r="1222" spans="1:3" x14ac:dyDescent="0.25">
      <c r="A1222" t="str">
        <f t="shared" si="39"/>
        <v>30</v>
      </c>
      <c r="B1222" t="str">
        <f>"30.45"</f>
        <v>30.45</v>
      </c>
      <c r="C1222" t="s">
        <v>1077</v>
      </c>
    </row>
    <row r="1223" spans="1:3" x14ac:dyDescent="0.25">
      <c r="A1223" t="str">
        <f t="shared" si="39"/>
        <v>30</v>
      </c>
      <c r="B1223" t="str">
        <f>"30.4501"</f>
        <v>30.4501</v>
      </c>
      <c r="C1223" t="s">
        <v>1077</v>
      </c>
    </row>
    <row r="1224" spans="1:3" x14ac:dyDescent="0.25">
      <c r="A1224" t="str">
        <f t="shared" si="39"/>
        <v>30</v>
      </c>
      <c r="B1224" t="str">
        <f>"30.46"</f>
        <v>30.46</v>
      </c>
      <c r="C1224" t="s">
        <v>1078</v>
      </c>
    </row>
    <row r="1225" spans="1:3" x14ac:dyDescent="0.25">
      <c r="A1225" t="str">
        <f t="shared" si="39"/>
        <v>30</v>
      </c>
      <c r="B1225" t="str">
        <f>"30.4601"</f>
        <v>30.4601</v>
      </c>
      <c r="C1225" t="s">
        <v>1078</v>
      </c>
    </row>
    <row r="1226" spans="1:3" x14ac:dyDescent="0.25">
      <c r="A1226" t="str">
        <f t="shared" si="39"/>
        <v>30</v>
      </c>
      <c r="B1226" t="str">
        <f>"30.47"</f>
        <v>30.47</v>
      </c>
      <c r="C1226" t="s">
        <v>1079</v>
      </c>
    </row>
    <row r="1227" spans="1:3" x14ac:dyDescent="0.25">
      <c r="A1227" t="str">
        <f t="shared" si="39"/>
        <v>30</v>
      </c>
      <c r="B1227" t="str">
        <f>"30.4701"</f>
        <v>30.4701</v>
      </c>
      <c r="C1227" t="s">
        <v>1079</v>
      </c>
    </row>
    <row r="1228" spans="1:3" x14ac:dyDescent="0.25">
      <c r="A1228" t="str">
        <f t="shared" si="39"/>
        <v>30</v>
      </c>
      <c r="B1228" t="str">
        <f>"30.48"</f>
        <v>30.48</v>
      </c>
      <c r="C1228" t="s">
        <v>1080</v>
      </c>
    </row>
    <row r="1229" spans="1:3" x14ac:dyDescent="0.25">
      <c r="A1229" t="str">
        <f t="shared" si="39"/>
        <v>30</v>
      </c>
      <c r="B1229" t="str">
        <f>"30.4801"</f>
        <v>30.4801</v>
      </c>
      <c r="C1229" t="s">
        <v>1080</v>
      </c>
    </row>
    <row r="1230" spans="1:3" x14ac:dyDescent="0.25">
      <c r="A1230" t="str">
        <f t="shared" si="39"/>
        <v>30</v>
      </c>
      <c r="B1230" t="str">
        <f>"30.49"</f>
        <v>30.49</v>
      </c>
      <c r="C1230" t="s">
        <v>1081</v>
      </c>
    </row>
    <row r="1231" spans="1:3" x14ac:dyDescent="0.25">
      <c r="A1231" t="str">
        <f t="shared" si="39"/>
        <v>30</v>
      </c>
      <c r="B1231" t="str">
        <f>"30.4901"</f>
        <v>30.4901</v>
      </c>
      <c r="C1231" t="s">
        <v>1081</v>
      </c>
    </row>
    <row r="1232" spans="1:3" x14ac:dyDescent="0.25">
      <c r="A1232" t="str">
        <f t="shared" si="39"/>
        <v>30</v>
      </c>
      <c r="B1232" t="str">
        <f>"30.50"</f>
        <v>30.50</v>
      </c>
      <c r="C1232" t="s">
        <v>1082</v>
      </c>
    </row>
    <row r="1233" spans="1:3" x14ac:dyDescent="0.25">
      <c r="A1233" t="str">
        <f t="shared" ref="A1233:A1253" si="40">"30"</f>
        <v>30</v>
      </c>
      <c r="B1233" t="str">
        <f>"30.5001"</f>
        <v>30.5001</v>
      </c>
      <c r="C1233" t="s">
        <v>1082</v>
      </c>
    </row>
    <row r="1234" spans="1:3" x14ac:dyDescent="0.25">
      <c r="A1234" t="str">
        <f t="shared" si="40"/>
        <v>30</v>
      </c>
      <c r="B1234" t="str">
        <f>"30.51"</f>
        <v>30.51</v>
      </c>
      <c r="C1234" t="s">
        <v>1083</v>
      </c>
    </row>
    <row r="1235" spans="1:3" x14ac:dyDescent="0.25">
      <c r="A1235" t="str">
        <f t="shared" si="40"/>
        <v>30</v>
      </c>
      <c r="B1235" t="str">
        <f>"30.5101"</f>
        <v>30.5101</v>
      </c>
      <c r="C1235" t="s">
        <v>1083</v>
      </c>
    </row>
    <row r="1236" spans="1:3" x14ac:dyDescent="0.25">
      <c r="A1236" t="str">
        <f t="shared" si="40"/>
        <v>30</v>
      </c>
      <c r="B1236" t="str">
        <f>"30.52"</f>
        <v>30.52</v>
      </c>
      <c r="C1236" t="s">
        <v>1084</v>
      </c>
    </row>
    <row r="1237" spans="1:3" x14ac:dyDescent="0.25">
      <c r="A1237" t="str">
        <f t="shared" si="40"/>
        <v>30</v>
      </c>
      <c r="B1237" t="str">
        <f>"30.5201"</f>
        <v>30.5201</v>
      </c>
      <c r="C1237" t="s">
        <v>1085</v>
      </c>
    </row>
    <row r="1238" spans="1:3" x14ac:dyDescent="0.25">
      <c r="A1238" t="str">
        <f t="shared" si="40"/>
        <v>30</v>
      </c>
      <c r="B1238" t="str">
        <f>"30.5202"</f>
        <v>30.5202</v>
      </c>
      <c r="C1238" t="s">
        <v>1086</v>
      </c>
    </row>
    <row r="1239" spans="1:3" x14ac:dyDescent="0.25">
      <c r="A1239" t="str">
        <f t="shared" si="40"/>
        <v>30</v>
      </c>
      <c r="B1239" t="str">
        <f>"30.5203"</f>
        <v>30.5203</v>
      </c>
      <c r="C1239" t="s">
        <v>1087</v>
      </c>
    </row>
    <row r="1240" spans="1:3" x14ac:dyDescent="0.25">
      <c r="A1240" t="str">
        <f t="shared" si="40"/>
        <v>30</v>
      </c>
      <c r="B1240" t="str">
        <f>"30.5299"</f>
        <v>30.5299</v>
      </c>
      <c r="C1240" t="s">
        <v>1088</v>
      </c>
    </row>
    <row r="1241" spans="1:3" x14ac:dyDescent="0.25">
      <c r="A1241" t="str">
        <f t="shared" si="40"/>
        <v>30</v>
      </c>
      <c r="B1241" t="str">
        <f>"30.53"</f>
        <v>30.53</v>
      </c>
      <c r="C1241" t="s">
        <v>1089</v>
      </c>
    </row>
    <row r="1242" spans="1:3" x14ac:dyDescent="0.25">
      <c r="A1242" t="str">
        <f t="shared" si="40"/>
        <v>30</v>
      </c>
      <c r="B1242" t="str">
        <f>"30.5301"</f>
        <v>30.5301</v>
      </c>
      <c r="C1242" t="s">
        <v>1089</v>
      </c>
    </row>
    <row r="1243" spans="1:3" x14ac:dyDescent="0.25">
      <c r="A1243" t="str">
        <f t="shared" si="40"/>
        <v>30</v>
      </c>
      <c r="B1243" t="str">
        <f>"30.70"</f>
        <v>30.70</v>
      </c>
      <c r="C1243" t="s">
        <v>1090</v>
      </c>
    </row>
    <row r="1244" spans="1:3" x14ac:dyDescent="0.25">
      <c r="A1244" t="str">
        <f t="shared" si="40"/>
        <v>30</v>
      </c>
      <c r="B1244" t="str">
        <f>"30.7001"</f>
        <v>30.7001</v>
      </c>
      <c r="C1244" t="s">
        <v>1091</v>
      </c>
    </row>
    <row r="1245" spans="1:3" x14ac:dyDescent="0.25">
      <c r="A1245" t="str">
        <f t="shared" si="40"/>
        <v>30</v>
      </c>
      <c r="B1245" t="str">
        <f>"30.7099"</f>
        <v>30.7099</v>
      </c>
      <c r="C1245" t="s">
        <v>1092</v>
      </c>
    </row>
    <row r="1246" spans="1:3" x14ac:dyDescent="0.25">
      <c r="A1246" t="str">
        <f t="shared" si="40"/>
        <v>30</v>
      </c>
      <c r="B1246" t="str">
        <f>"30.71"</f>
        <v>30.71</v>
      </c>
      <c r="C1246" t="s">
        <v>1093</v>
      </c>
    </row>
    <row r="1247" spans="1:3" x14ac:dyDescent="0.25">
      <c r="A1247" t="str">
        <f t="shared" si="40"/>
        <v>30</v>
      </c>
      <c r="B1247" t="str">
        <f>"30.7101"</f>
        <v>30.7101</v>
      </c>
      <c r="C1247" t="s">
        <v>1094</v>
      </c>
    </row>
    <row r="1248" spans="1:3" x14ac:dyDescent="0.25">
      <c r="A1248" t="str">
        <f t="shared" si="40"/>
        <v>30</v>
      </c>
      <c r="B1248" t="str">
        <f>"30.7102"</f>
        <v>30.7102</v>
      </c>
      <c r="C1248" t="s">
        <v>1095</v>
      </c>
    </row>
    <row r="1249" spans="1:3" x14ac:dyDescent="0.25">
      <c r="A1249" t="str">
        <f t="shared" si="40"/>
        <v>30</v>
      </c>
      <c r="B1249" t="str">
        <f>"30.7103"</f>
        <v>30.7103</v>
      </c>
      <c r="C1249" t="s">
        <v>1096</v>
      </c>
    </row>
    <row r="1250" spans="1:3" x14ac:dyDescent="0.25">
      <c r="A1250" t="str">
        <f t="shared" si="40"/>
        <v>30</v>
      </c>
      <c r="B1250" t="str">
        <f>"30.7104"</f>
        <v>30.7104</v>
      </c>
      <c r="C1250" t="s">
        <v>1097</v>
      </c>
    </row>
    <row r="1251" spans="1:3" x14ac:dyDescent="0.25">
      <c r="A1251" t="str">
        <f t="shared" si="40"/>
        <v>30</v>
      </c>
      <c r="B1251" t="str">
        <f>"30.7199"</f>
        <v>30.7199</v>
      </c>
      <c r="C1251" t="s">
        <v>1098</v>
      </c>
    </row>
    <row r="1252" spans="1:3" x14ac:dyDescent="0.25">
      <c r="A1252" t="str">
        <f t="shared" si="40"/>
        <v>30</v>
      </c>
      <c r="B1252" t="str">
        <f>"30.99"</f>
        <v>30.99</v>
      </c>
      <c r="C1252" t="s">
        <v>1099</v>
      </c>
    </row>
    <row r="1253" spans="1:3" x14ac:dyDescent="0.25">
      <c r="A1253" t="str">
        <f t="shared" si="40"/>
        <v>30</v>
      </c>
      <c r="B1253" t="str">
        <f>"30.9999"</f>
        <v>30.9999</v>
      </c>
      <c r="C1253" t="s">
        <v>1100</v>
      </c>
    </row>
    <row r="1254" spans="1:3" x14ac:dyDescent="0.25">
      <c r="A1254" t="str">
        <f>"31"</f>
        <v>31</v>
      </c>
      <c r="B1254" t="str">
        <f>"31"</f>
        <v>31</v>
      </c>
      <c r="C1254" t="s">
        <v>1101</v>
      </c>
    </row>
    <row r="1255" spans="1:3" x14ac:dyDescent="0.25">
      <c r="A1255" t="str">
        <f t="shared" ref="A1255:A1271" si="41">"31"</f>
        <v>31</v>
      </c>
      <c r="B1255" t="str">
        <f>"31.01"</f>
        <v>31.01</v>
      </c>
      <c r="C1255" t="s">
        <v>1102</v>
      </c>
    </row>
    <row r="1256" spans="1:3" x14ac:dyDescent="0.25">
      <c r="A1256" t="str">
        <f t="shared" si="41"/>
        <v>31</v>
      </c>
      <c r="B1256" t="str">
        <f>"31.0101"</f>
        <v>31.0101</v>
      </c>
      <c r="C1256" t="s">
        <v>1102</v>
      </c>
    </row>
    <row r="1257" spans="1:3" x14ac:dyDescent="0.25">
      <c r="A1257" t="str">
        <f t="shared" si="41"/>
        <v>31</v>
      </c>
      <c r="B1257" t="str">
        <f>"31.03"</f>
        <v>31.03</v>
      </c>
      <c r="C1257" t="s">
        <v>1103</v>
      </c>
    </row>
    <row r="1258" spans="1:3" x14ac:dyDescent="0.25">
      <c r="A1258" t="str">
        <f t="shared" si="41"/>
        <v>31</v>
      </c>
      <c r="B1258" t="str">
        <f>"31.0301"</f>
        <v>31.0301</v>
      </c>
      <c r="C1258" t="s">
        <v>1104</v>
      </c>
    </row>
    <row r="1259" spans="1:3" x14ac:dyDescent="0.25">
      <c r="A1259" t="str">
        <f t="shared" si="41"/>
        <v>31</v>
      </c>
      <c r="B1259" t="str">
        <f>"31.0302"</f>
        <v>31.0302</v>
      </c>
      <c r="C1259" t="s">
        <v>1105</v>
      </c>
    </row>
    <row r="1260" spans="1:3" x14ac:dyDescent="0.25">
      <c r="A1260" t="str">
        <f t="shared" si="41"/>
        <v>31</v>
      </c>
      <c r="B1260" t="str">
        <f>"31.0399"</f>
        <v>31.0399</v>
      </c>
      <c r="C1260" t="s">
        <v>1106</v>
      </c>
    </row>
    <row r="1261" spans="1:3" x14ac:dyDescent="0.25">
      <c r="A1261" t="str">
        <f t="shared" si="41"/>
        <v>31</v>
      </c>
      <c r="B1261" t="str">
        <f>"31.05"</f>
        <v>31.05</v>
      </c>
      <c r="C1261" t="s">
        <v>1107</v>
      </c>
    </row>
    <row r="1262" spans="1:3" x14ac:dyDescent="0.25">
      <c r="A1262" t="str">
        <f t="shared" si="41"/>
        <v>31</v>
      </c>
      <c r="B1262" t="str">
        <f>"31.0501"</f>
        <v>31.0501</v>
      </c>
      <c r="C1262" t="s">
        <v>1108</v>
      </c>
    </row>
    <row r="1263" spans="1:3" x14ac:dyDescent="0.25">
      <c r="A1263" t="str">
        <f t="shared" si="41"/>
        <v>31</v>
      </c>
      <c r="B1263" t="str">
        <f>"31.0504"</f>
        <v>31.0504</v>
      </c>
      <c r="C1263" t="s">
        <v>1109</v>
      </c>
    </row>
    <row r="1264" spans="1:3" x14ac:dyDescent="0.25">
      <c r="A1264" t="str">
        <f t="shared" si="41"/>
        <v>31</v>
      </c>
      <c r="B1264" t="str">
        <f>"31.0505"</f>
        <v>31.0505</v>
      </c>
      <c r="C1264" t="s">
        <v>1110</v>
      </c>
    </row>
    <row r="1265" spans="1:3" x14ac:dyDescent="0.25">
      <c r="A1265" t="str">
        <f t="shared" si="41"/>
        <v>31</v>
      </c>
      <c r="B1265" t="str">
        <f>"31.0507"</f>
        <v>31.0507</v>
      </c>
      <c r="C1265" t="s">
        <v>1111</v>
      </c>
    </row>
    <row r="1266" spans="1:3" x14ac:dyDescent="0.25">
      <c r="A1266" t="str">
        <f t="shared" si="41"/>
        <v>31</v>
      </c>
      <c r="B1266" t="str">
        <f>"31.0508"</f>
        <v>31.0508</v>
      </c>
      <c r="C1266" t="s">
        <v>1112</v>
      </c>
    </row>
    <row r="1267" spans="1:3" x14ac:dyDescent="0.25">
      <c r="A1267" t="str">
        <f t="shared" si="41"/>
        <v>31</v>
      </c>
      <c r="B1267" t="str">
        <f>"31.0599"</f>
        <v>31.0599</v>
      </c>
      <c r="C1267" t="s">
        <v>1113</v>
      </c>
    </row>
    <row r="1268" spans="1:3" x14ac:dyDescent="0.25">
      <c r="A1268" t="str">
        <f t="shared" si="41"/>
        <v>31</v>
      </c>
      <c r="B1268" t="str">
        <f>"31.06"</f>
        <v>31.06</v>
      </c>
      <c r="C1268" t="s">
        <v>1114</v>
      </c>
    </row>
    <row r="1269" spans="1:3" x14ac:dyDescent="0.25">
      <c r="A1269" t="str">
        <f t="shared" si="41"/>
        <v>31</v>
      </c>
      <c r="B1269" t="str">
        <f>"31.0601"</f>
        <v>31.0601</v>
      </c>
      <c r="C1269" t="s">
        <v>1114</v>
      </c>
    </row>
    <row r="1270" spans="1:3" x14ac:dyDescent="0.25">
      <c r="A1270" t="str">
        <f t="shared" si="41"/>
        <v>31</v>
      </c>
      <c r="B1270" t="str">
        <f>"31.99"</f>
        <v>31.99</v>
      </c>
      <c r="C1270" t="s">
        <v>1115</v>
      </c>
    </row>
    <row r="1271" spans="1:3" x14ac:dyDescent="0.25">
      <c r="A1271" t="str">
        <f t="shared" si="41"/>
        <v>31</v>
      </c>
      <c r="B1271" t="str">
        <f>"31.9999"</f>
        <v>31.9999</v>
      </c>
      <c r="C1271" t="s">
        <v>1115</v>
      </c>
    </row>
    <row r="1272" spans="1:3" x14ac:dyDescent="0.25">
      <c r="A1272" t="str">
        <f>"32"</f>
        <v>32</v>
      </c>
      <c r="B1272" t="str">
        <f>"32"</f>
        <v>32</v>
      </c>
      <c r="C1272" t="s">
        <v>1116</v>
      </c>
    </row>
    <row r="1273" spans="1:3" x14ac:dyDescent="0.25">
      <c r="A1273" t="str">
        <f t="shared" ref="A1273:A1290" si="42">"32"</f>
        <v>32</v>
      </c>
      <c r="B1273" t="str">
        <f>"32.01"</f>
        <v>32.01</v>
      </c>
      <c r="C1273" t="s">
        <v>1117</v>
      </c>
    </row>
    <row r="1274" spans="1:3" x14ac:dyDescent="0.25">
      <c r="A1274" t="str">
        <f t="shared" si="42"/>
        <v>32</v>
      </c>
      <c r="B1274" t="str">
        <f>"32.0101"</f>
        <v>32.0101</v>
      </c>
      <c r="C1274" t="s">
        <v>1118</v>
      </c>
    </row>
    <row r="1275" spans="1:3" x14ac:dyDescent="0.25">
      <c r="A1275" t="str">
        <f t="shared" si="42"/>
        <v>32</v>
      </c>
      <c r="B1275" t="str">
        <f>"32.0104"</f>
        <v>32.0104</v>
      </c>
      <c r="C1275" t="s">
        <v>1119</v>
      </c>
    </row>
    <row r="1276" spans="1:3" x14ac:dyDescent="0.25">
      <c r="A1276" t="str">
        <f t="shared" si="42"/>
        <v>32</v>
      </c>
      <c r="B1276" t="str">
        <f>"32.0105"</f>
        <v>32.0105</v>
      </c>
      <c r="C1276" t="s">
        <v>1120</v>
      </c>
    </row>
    <row r="1277" spans="1:3" x14ac:dyDescent="0.25">
      <c r="A1277" t="str">
        <f t="shared" si="42"/>
        <v>32</v>
      </c>
      <c r="B1277" t="str">
        <f>"32.0107"</f>
        <v>32.0107</v>
      </c>
      <c r="C1277" t="s">
        <v>1121</v>
      </c>
    </row>
    <row r="1278" spans="1:3" x14ac:dyDescent="0.25">
      <c r="A1278" t="str">
        <f t="shared" si="42"/>
        <v>32</v>
      </c>
      <c r="B1278" t="str">
        <f>"32.0108"</f>
        <v>32.0108</v>
      </c>
      <c r="C1278" t="s">
        <v>1122</v>
      </c>
    </row>
    <row r="1279" spans="1:3" x14ac:dyDescent="0.25">
      <c r="A1279" t="str">
        <f t="shared" si="42"/>
        <v>32</v>
      </c>
      <c r="B1279" t="str">
        <f>"32.0109"</f>
        <v>32.0109</v>
      </c>
      <c r="C1279" t="s">
        <v>720</v>
      </c>
    </row>
    <row r="1280" spans="1:3" x14ac:dyDescent="0.25">
      <c r="A1280" t="str">
        <f t="shared" si="42"/>
        <v>32</v>
      </c>
      <c r="B1280" t="str">
        <f>"32.0110"</f>
        <v>32.0110</v>
      </c>
      <c r="C1280" t="s">
        <v>1123</v>
      </c>
    </row>
    <row r="1281" spans="1:3" x14ac:dyDescent="0.25">
      <c r="A1281" t="str">
        <f t="shared" si="42"/>
        <v>32</v>
      </c>
      <c r="B1281" t="str">
        <f>"32.0111"</f>
        <v>32.0111</v>
      </c>
      <c r="C1281" t="s">
        <v>1124</v>
      </c>
    </row>
    <row r="1282" spans="1:3" x14ac:dyDescent="0.25">
      <c r="A1282" t="str">
        <f t="shared" si="42"/>
        <v>32</v>
      </c>
      <c r="B1282" t="str">
        <f>"32.0112"</f>
        <v>32.0112</v>
      </c>
      <c r="C1282" t="s">
        <v>1125</v>
      </c>
    </row>
    <row r="1283" spans="1:3" x14ac:dyDescent="0.25">
      <c r="A1283" t="str">
        <f t="shared" si="42"/>
        <v>32</v>
      </c>
      <c r="B1283" t="str">
        <f>"32.0199"</f>
        <v>32.0199</v>
      </c>
      <c r="C1283" t="s">
        <v>1126</v>
      </c>
    </row>
    <row r="1284" spans="1:3" x14ac:dyDescent="0.25">
      <c r="A1284" t="str">
        <f t="shared" si="42"/>
        <v>32</v>
      </c>
      <c r="B1284" t="str">
        <f>"32.02"</f>
        <v>32.02</v>
      </c>
      <c r="C1284" t="s">
        <v>1127</v>
      </c>
    </row>
    <row r="1285" spans="1:3" x14ac:dyDescent="0.25">
      <c r="A1285" t="str">
        <f t="shared" si="42"/>
        <v>32</v>
      </c>
      <c r="B1285" t="str">
        <f>"32.0201"</f>
        <v>32.0201</v>
      </c>
      <c r="C1285" t="s">
        <v>1128</v>
      </c>
    </row>
    <row r="1286" spans="1:3" x14ac:dyDescent="0.25">
      <c r="A1286" t="str">
        <f t="shared" si="42"/>
        <v>32</v>
      </c>
      <c r="B1286" t="str">
        <f>"32.0202"</f>
        <v>32.0202</v>
      </c>
      <c r="C1286" t="s">
        <v>1129</v>
      </c>
    </row>
    <row r="1287" spans="1:3" x14ac:dyDescent="0.25">
      <c r="A1287" t="str">
        <f t="shared" si="42"/>
        <v>32</v>
      </c>
      <c r="B1287" t="str">
        <f>"32.0203"</f>
        <v>32.0203</v>
      </c>
      <c r="C1287" t="s">
        <v>1130</v>
      </c>
    </row>
    <row r="1288" spans="1:3" x14ac:dyDescent="0.25">
      <c r="A1288" t="str">
        <f t="shared" si="42"/>
        <v>32</v>
      </c>
      <c r="B1288" t="str">
        <f>"32.0204"</f>
        <v>32.0204</v>
      </c>
      <c r="C1288" t="s">
        <v>1131</v>
      </c>
    </row>
    <row r="1289" spans="1:3" x14ac:dyDescent="0.25">
      <c r="A1289" t="str">
        <f t="shared" si="42"/>
        <v>32</v>
      </c>
      <c r="B1289" t="str">
        <f>"32.0205"</f>
        <v>32.0205</v>
      </c>
      <c r="C1289" t="s">
        <v>1132</v>
      </c>
    </row>
    <row r="1290" spans="1:3" x14ac:dyDescent="0.25">
      <c r="A1290" t="str">
        <f t="shared" si="42"/>
        <v>32</v>
      </c>
      <c r="B1290" t="str">
        <f>"32.0299"</f>
        <v>32.0299</v>
      </c>
      <c r="C1290" t="s">
        <v>1133</v>
      </c>
    </row>
    <row r="1291" spans="1:3" x14ac:dyDescent="0.25">
      <c r="A1291" t="str">
        <f>"33"</f>
        <v>33</v>
      </c>
      <c r="B1291" t="str">
        <f>"33"</f>
        <v>33</v>
      </c>
      <c r="C1291" t="s">
        <v>1134</v>
      </c>
    </row>
    <row r="1292" spans="1:3" x14ac:dyDescent="0.25">
      <c r="A1292" t="str">
        <f t="shared" ref="A1292:A1299" si="43">"33"</f>
        <v>33</v>
      </c>
      <c r="B1292" t="str">
        <f>"33.01"</f>
        <v>33.01</v>
      </c>
      <c r="C1292" t="s">
        <v>1135</v>
      </c>
    </row>
    <row r="1293" spans="1:3" x14ac:dyDescent="0.25">
      <c r="A1293" t="str">
        <f t="shared" si="43"/>
        <v>33</v>
      </c>
      <c r="B1293" t="str">
        <f>"33.0101"</f>
        <v>33.0101</v>
      </c>
      <c r="C1293" t="s">
        <v>1136</v>
      </c>
    </row>
    <row r="1294" spans="1:3" x14ac:dyDescent="0.25">
      <c r="A1294" t="str">
        <f t="shared" si="43"/>
        <v>33</v>
      </c>
      <c r="B1294" t="str">
        <f>"33.0102"</f>
        <v>33.0102</v>
      </c>
      <c r="C1294" t="s">
        <v>1137</v>
      </c>
    </row>
    <row r="1295" spans="1:3" x14ac:dyDescent="0.25">
      <c r="A1295" t="str">
        <f t="shared" si="43"/>
        <v>33</v>
      </c>
      <c r="B1295" t="str">
        <f>"33.0103"</f>
        <v>33.0103</v>
      </c>
      <c r="C1295" t="s">
        <v>1138</v>
      </c>
    </row>
    <row r="1296" spans="1:3" x14ac:dyDescent="0.25">
      <c r="A1296" t="str">
        <f t="shared" si="43"/>
        <v>33</v>
      </c>
      <c r="B1296" t="str">
        <f>"33.0104"</f>
        <v>33.0104</v>
      </c>
      <c r="C1296" t="s">
        <v>1139</v>
      </c>
    </row>
    <row r="1297" spans="1:3" x14ac:dyDescent="0.25">
      <c r="A1297" t="str">
        <f t="shared" si="43"/>
        <v>33</v>
      </c>
      <c r="B1297" t="str">
        <f>"33.0105"</f>
        <v>33.0105</v>
      </c>
      <c r="C1297" t="s">
        <v>1140</v>
      </c>
    </row>
    <row r="1298" spans="1:3" x14ac:dyDescent="0.25">
      <c r="A1298" t="str">
        <f t="shared" si="43"/>
        <v>33</v>
      </c>
      <c r="B1298" t="str">
        <f>"33.0106"</f>
        <v>33.0106</v>
      </c>
      <c r="C1298" t="s">
        <v>1141</v>
      </c>
    </row>
    <row r="1299" spans="1:3" x14ac:dyDescent="0.25">
      <c r="A1299" t="str">
        <f t="shared" si="43"/>
        <v>33</v>
      </c>
      <c r="B1299" t="str">
        <f>"33.0199"</f>
        <v>33.0199</v>
      </c>
      <c r="C1299" t="s">
        <v>1142</v>
      </c>
    </row>
    <row r="1300" spans="1:3" x14ac:dyDescent="0.25">
      <c r="A1300" t="str">
        <f>"34"</f>
        <v>34</v>
      </c>
      <c r="B1300" t="str">
        <f>"34"</f>
        <v>34</v>
      </c>
      <c r="C1300" t="s">
        <v>1143</v>
      </c>
    </row>
    <row r="1301" spans="1:3" x14ac:dyDescent="0.25">
      <c r="A1301" t="str">
        <f t="shared" ref="A1301:A1306" si="44">"34"</f>
        <v>34</v>
      </c>
      <c r="B1301" t="str">
        <f>"34.01"</f>
        <v>34.01</v>
      </c>
      <c r="C1301" t="s">
        <v>1144</v>
      </c>
    </row>
    <row r="1302" spans="1:3" x14ac:dyDescent="0.25">
      <c r="A1302" t="str">
        <f t="shared" si="44"/>
        <v>34</v>
      </c>
      <c r="B1302" t="str">
        <f>"34.0102"</f>
        <v>34.0102</v>
      </c>
      <c r="C1302" t="s">
        <v>1145</v>
      </c>
    </row>
    <row r="1303" spans="1:3" x14ac:dyDescent="0.25">
      <c r="A1303" t="str">
        <f t="shared" si="44"/>
        <v>34</v>
      </c>
      <c r="B1303" t="str">
        <f>"34.0103"</f>
        <v>34.0103</v>
      </c>
      <c r="C1303" t="s">
        <v>1146</v>
      </c>
    </row>
    <row r="1304" spans="1:3" x14ac:dyDescent="0.25">
      <c r="A1304" t="str">
        <f t="shared" si="44"/>
        <v>34</v>
      </c>
      <c r="B1304" t="str">
        <f>"34.0104"</f>
        <v>34.0104</v>
      </c>
      <c r="C1304" t="s">
        <v>1147</v>
      </c>
    </row>
    <row r="1305" spans="1:3" x14ac:dyDescent="0.25">
      <c r="A1305" t="str">
        <f t="shared" si="44"/>
        <v>34</v>
      </c>
      <c r="B1305" t="str">
        <f>"34.0105"</f>
        <v>34.0105</v>
      </c>
      <c r="C1305" t="s">
        <v>1148</v>
      </c>
    </row>
    <row r="1306" spans="1:3" x14ac:dyDescent="0.25">
      <c r="A1306" t="str">
        <f t="shared" si="44"/>
        <v>34</v>
      </c>
      <c r="B1306" t="str">
        <f>"34.0199"</f>
        <v>34.0199</v>
      </c>
      <c r="C1306" t="s">
        <v>1149</v>
      </c>
    </row>
    <row r="1307" spans="1:3" x14ac:dyDescent="0.25">
      <c r="A1307" t="str">
        <f>"35"</f>
        <v>35</v>
      </c>
      <c r="B1307" t="str">
        <f>"35"</f>
        <v>35</v>
      </c>
      <c r="C1307" t="s">
        <v>1150</v>
      </c>
    </row>
    <row r="1308" spans="1:3" x14ac:dyDescent="0.25">
      <c r="A1308" t="str">
        <f t="shared" ref="A1308:A1313" si="45">"35"</f>
        <v>35</v>
      </c>
      <c r="B1308" t="str">
        <f>"35.01"</f>
        <v>35.01</v>
      </c>
      <c r="C1308" t="s">
        <v>1151</v>
      </c>
    </row>
    <row r="1309" spans="1:3" x14ac:dyDescent="0.25">
      <c r="A1309" t="str">
        <f t="shared" si="45"/>
        <v>35</v>
      </c>
      <c r="B1309" t="str">
        <f>"35.0101"</f>
        <v>35.0101</v>
      </c>
      <c r="C1309" t="s">
        <v>1152</v>
      </c>
    </row>
    <row r="1310" spans="1:3" x14ac:dyDescent="0.25">
      <c r="A1310" t="str">
        <f t="shared" si="45"/>
        <v>35</v>
      </c>
      <c r="B1310" t="str">
        <f>"35.0102"</f>
        <v>35.0102</v>
      </c>
      <c r="C1310" t="s">
        <v>1153</v>
      </c>
    </row>
    <row r="1311" spans="1:3" x14ac:dyDescent="0.25">
      <c r="A1311" t="str">
        <f t="shared" si="45"/>
        <v>35</v>
      </c>
      <c r="B1311" t="str">
        <f>"35.0103"</f>
        <v>35.0103</v>
      </c>
      <c r="C1311" t="s">
        <v>1154</v>
      </c>
    </row>
    <row r="1312" spans="1:3" x14ac:dyDescent="0.25">
      <c r="A1312" t="str">
        <f t="shared" si="45"/>
        <v>35</v>
      </c>
      <c r="B1312" t="str">
        <f>"35.0105"</f>
        <v>35.0105</v>
      </c>
      <c r="C1312" t="s">
        <v>1155</v>
      </c>
    </row>
    <row r="1313" spans="1:3" x14ac:dyDescent="0.25">
      <c r="A1313" t="str">
        <f t="shared" si="45"/>
        <v>35</v>
      </c>
      <c r="B1313" t="str">
        <f>"35.0199"</f>
        <v>35.0199</v>
      </c>
      <c r="C1313" t="s">
        <v>1156</v>
      </c>
    </row>
    <row r="1314" spans="1:3" x14ac:dyDescent="0.25">
      <c r="A1314" t="str">
        <f>"36"</f>
        <v>36</v>
      </c>
      <c r="B1314" t="str">
        <f>"36"</f>
        <v>36</v>
      </c>
      <c r="C1314" t="s">
        <v>1157</v>
      </c>
    </row>
    <row r="1315" spans="1:3" x14ac:dyDescent="0.25">
      <c r="A1315" t="str">
        <f t="shared" ref="A1315:A1346" si="46">"36"</f>
        <v>36</v>
      </c>
      <c r="B1315" t="str">
        <f>"36.01"</f>
        <v>36.01</v>
      </c>
      <c r="C1315" t="s">
        <v>1158</v>
      </c>
    </row>
    <row r="1316" spans="1:3" x14ac:dyDescent="0.25">
      <c r="A1316" t="str">
        <f t="shared" si="46"/>
        <v>36</v>
      </c>
      <c r="B1316" t="str">
        <f>"36.0101"</f>
        <v>36.0101</v>
      </c>
      <c r="C1316" t="s">
        <v>1159</v>
      </c>
    </row>
    <row r="1317" spans="1:3" x14ac:dyDescent="0.25">
      <c r="A1317" t="str">
        <f t="shared" si="46"/>
        <v>36</v>
      </c>
      <c r="B1317" t="str">
        <f>"36.0102"</f>
        <v>36.0102</v>
      </c>
      <c r="C1317" t="s">
        <v>1160</v>
      </c>
    </row>
    <row r="1318" spans="1:3" x14ac:dyDescent="0.25">
      <c r="A1318" t="str">
        <f t="shared" si="46"/>
        <v>36</v>
      </c>
      <c r="B1318" t="str">
        <f>"36.0103"</f>
        <v>36.0103</v>
      </c>
      <c r="C1318" t="s">
        <v>1161</v>
      </c>
    </row>
    <row r="1319" spans="1:3" x14ac:dyDescent="0.25">
      <c r="A1319" t="str">
        <f t="shared" si="46"/>
        <v>36</v>
      </c>
      <c r="B1319" t="str">
        <f>"36.0105"</f>
        <v>36.0105</v>
      </c>
      <c r="C1319" t="s">
        <v>1162</v>
      </c>
    </row>
    <row r="1320" spans="1:3" x14ac:dyDescent="0.25">
      <c r="A1320" t="str">
        <f t="shared" si="46"/>
        <v>36</v>
      </c>
      <c r="B1320" t="str">
        <f>"36.0106"</f>
        <v>36.0106</v>
      </c>
      <c r="C1320" t="s">
        <v>1163</v>
      </c>
    </row>
    <row r="1321" spans="1:3" x14ac:dyDescent="0.25">
      <c r="A1321" t="str">
        <f t="shared" si="46"/>
        <v>36</v>
      </c>
      <c r="B1321" t="str">
        <f>"36.0107"</f>
        <v>36.0107</v>
      </c>
      <c r="C1321" t="s">
        <v>1164</v>
      </c>
    </row>
    <row r="1322" spans="1:3" x14ac:dyDescent="0.25">
      <c r="A1322" t="str">
        <f t="shared" si="46"/>
        <v>36</v>
      </c>
      <c r="B1322" t="str">
        <f>"36.0108"</f>
        <v>36.0108</v>
      </c>
      <c r="C1322" t="s">
        <v>1165</v>
      </c>
    </row>
    <row r="1323" spans="1:3" x14ac:dyDescent="0.25">
      <c r="A1323" t="str">
        <f t="shared" si="46"/>
        <v>36</v>
      </c>
      <c r="B1323" t="str">
        <f>"36.0109"</f>
        <v>36.0109</v>
      </c>
      <c r="C1323" t="s">
        <v>1166</v>
      </c>
    </row>
    <row r="1324" spans="1:3" x14ac:dyDescent="0.25">
      <c r="A1324" t="str">
        <f t="shared" si="46"/>
        <v>36</v>
      </c>
      <c r="B1324" t="str">
        <f>"36.0110"</f>
        <v>36.0110</v>
      </c>
      <c r="C1324" t="s">
        <v>1167</v>
      </c>
    </row>
    <row r="1325" spans="1:3" x14ac:dyDescent="0.25">
      <c r="A1325" t="str">
        <f t="shared" si="46"/>
        <v>36</v>
      </c>
      <c r="B1325" t="str">
        <f>"36.0111"</f>
        <v>36.0111</v>
      </c>
      <c r="C1325" t="s">
        <v>1168</v>
      </c>
    </row>
    <row r="1326" spans="1:3" x14ac:dyDescent="0.25">
      <c r="A1326" t="str">
        <f t="shared" si="46"/>
        <v>36</v>
      </c>
      <c r="B1326" t="str">
        <f>"36.0112"</f>
        <v>36.0112</v>
      </c>
      <c r="C1326" t="s">
        <v>1169</v>
      </c>
    </row>
    <row r="1327" spans="1:3" x14ac:dyDescent="0.25">
      <c r="A1327" t="str">
        <f t="shared" si="46"/>
        <v>36</v>
      </c>
      <c r="B1327" t="str">
        <f>"36.0113"</f>
        <v>36.0113</v>
      </c>
      <c r="C1327" t="s">
        <v>1170</v>
      </c>
    </row>
    <row r="1328" spans="1:3" x14ac:dyDescent="0.25">
      <c r="A1328" t="str">
        <f t="shared" si="46"/>
        <v>36</v>
      </c>
      <c r="B1328" t="str">
        <f>"36.0114"</f>
        <v>36.0114</v>
      </c>
      <c r="C1328" t="s">
        <v>1171</v>
      </c>
    </row>
    <row r="1329" spans="1:3" x14ac:dyDescent="0.25">
      <c r="A1329" t="str">
        <f t="shared" si="46"/>
        <v>36</v>
      </c>
      <c r="B1329" t="str">
        <f>"36.0115"</f>
        <v>36.0115</v>
      </c>
      <c r="C1329" t="s">
        <v>1172</v>
      </c>
    </row>
    <row r="1330" spans="1:3" x14ac:dyDescent="0.25">
      <c r="A1330" t="str">
        <f t="shared" si="46"/>
        <v>36</v>
      </c>
      <c r="B1330" t="str">
        <f>"36.0116"</f>
        <v>36.0116</v>
      </c>
      <c r="C1330" t="s">
        <v>1173</v>
      </c>
    </row>
    <row r="1331" spans="1:3" x14ac:dyDescent="0.25">
      <c r="A1331" t="str">
        <f t="shared" si="46"/>
        <v>36</v>
      </c>
      <c r="B1331" t="str">
        <f>"36.0117"</f>
        <v>36.0117</v>
      </c>
      <c r="C1331" t="s">
        <v>1174</v>
      </c>
    </row>
    <row r="1332" spans="1:3" x14ac:dyDescent="0.25">
      <c r="A1332" t="str">
        <f t="shared" si="46"/>
        <v>36</v>
      </c>
      <c r="B1332" t="str">
        <f>"36.0118"</f>
        <v>36.0118</v>
      </c>
      <c r="C1332" t="s">
        <v>1175</v>
      </c>
    </row>
    <row r="1333" spans="1:3" x14ac:dyDescent="0.25">
      <c r="A1333" t="str">
        <f t="shared" si="46"/>
        <v>36</v>
      </c>
      <c r="B1333" t="str">
        <f>"36.0119"</f>
        <v>36.0119</v>
      </c>
      <c r="C1333" t="s">
        <v>1176</v>
      </c>
    </row>
    <row r="1334" spans="1:3" x14ac:dyDescent="0.25">
      <c r="A1334" t="str">
        <f t="shared" si="46"/>
        <v>36</v>
      </c>
      <c r="B1334" t="str">
        <f>"36.0120"</f>
        <v>36.0120</v>
      </c>
      <c r="C1334" t="s">
        <v>1177</v>
      </c>
    </row>
    <row r="1335" spans="1:3" x14ac:dyDescent="0.25">
      <c r="A1335" t="str">
        <f t="shared" si="46"/>
        <v>36</v>
      </c>
      <c r="B1335" t="str">
        <f>"36.0121"</f>
        <v>36.0121</v>
      </c>
      <c r="C1335" t="s">
        <v>1178</v>
      </c>
    </row>
    <row r="1336" spans="1:3" x14ac:dyDescent="0.25">
      <c r="A1336" t="str">
        <f t="shared" si="46"/>
        <v>36</v>
      </c>
      <c r="B1336" t="str">
        <f>"36.0122"</f>
        <v>36.0122</v>
      </c>
      <c r="C1336" t="s">
        <v>1179</v>
      </c>
    </row>
    <row r="1337" spans="1:3" x14ac:dyDescent="0.25">
      <c r="A1337" t="str">
        <f t="shared" si="46"/>
        <v>36</v>
      </c>
      <c r="B1337" t="str">
        <f>"36.0123"</f>
        <v>36.0123</v>
      </c>
      <c r="C1337" t="s">
        <v>1180</v>
      </c>
    </row>
    <row r="1338" spans="1:3" x14ac:dyDescent="0.25">
      <c r="A1338" t="str">
        <f t="shared" si="46"/>
        <v>36</v>
      </c>
      <c r="B1338" t="str">
        <f>"36.0199"</f>
        <v>36.0199</v>
      </c>
      <c r="C1338" t="s">
        <v>1181</v>
      </c>
    </row>
    <row r="1339" spans="1:3" x14ac:dyDescent="0.25">
      <c r="A1339" t="str">
        <f t="shared" si="46"/>
        <v>36</v>
      </c>
      <c r="B1339" t="str">
        <f>"36.02"</f>
        <v>36.02</v>
      </c>
      <c r="C1339" t="s">
        <v>1182</v>
      </c>
    </row>
    <row r="1340" spans="1:3" x14ac:dyDescent="0.25">
      <c r="A1340" t="str">
        <f t="shared" si="46"/>
        <v>36</v>
      </c>
      <c r="B1340" t="str">
        <f>"36.0202"</f>
        <v>36.0202</v>
      </c>
      <c r="C1340" t="s">
        <v>1176</v>
      </c>
    </row>
    <row r="1341" spans="1:3" x14ac:dyDescent="0.25">
      <c r="A1341" t="str">
        <f t="shared" si="46"/>
        <v>36</v>
      </c>
      <c r="B1341" t="str">
        <f>"36.0203"</f>
        <v>36.0203</v>
      </c>
      <c r="C1341" t="s">
        <v>1183</v>
      </c>
    </row>
    <row r="1342" spans="1:3" x14ac:dyDescent="0.25">
      <c r="A1342" t="str">
        <f t="shared" si="46"/>
        <v>36</v>
      </c>
      <c r="B1342" t="str">
        <f>"36.0204"</f>
        <v>36.0204</v>
      </c>
      <c r="C1342" t="s">
        <v>1184</v>
      </c>
    </row>
    <row r="1343" spans="1:3" x14ac:dyDescent="0.25">
      <c r="A1343" t="str">
        <f t="shared" si="46"/>
        <v>36</v>
      </c>
      <c r="B1343" t="str">
        <f>"36.0205"</f>
        <v>36.0205</v>
      </c>
      <c r="C1343" t="s">
        <v>1185</v>
      </c>
    </row>
    <row r="1344" spans="1:3" x14ac:dyDescent="0.25">
      <c r="A1344" t="str">
        <f t="shared" si="46"/>
        <v>36</v>
      </c>
      <c r="B1344" t="str">
        <f>"36.0206"</f>
        <v>36.0206</v>
      </c>
      <c r="C1344" t="s">
        <v>1186</v>
      </c>
    </row>
    <row r="1345" spans="1:3" x14ac:dyDescent="0.25">
      <c r="A1345" t="str">
        <f t="shared" si="46"/>
        <v>36</v>
      </c>
      <c r="B1345" t="str">
        <f>"36.0207"</f>
        <v>36.0207</v>
      </c>
      <c r="C1345" t="s">
        <v>1187</v>
      </c>
    </row>
    <row r="1346" spans="1:3" x14ac:dyDescent="0.25">
      <c r="A1346" t="str">
        <f t="shared" si="46"/>
        <v>36</v>
      </c>
      <c r="B1346" t="str">
        <f>"36.0299"</f>
        <v>36.0299</v>
      </c>
      <c r="C1346" t="s">
        <v>1188</v>
      </c>
    </row>
    <row r="1347" spans="1:3" x14ac:dyDescent="0.25">
      <c r="A1347" t="str">
        <f>"37"</f>
        <v>37</v>
      </c>
      <c r="B1347" t="str">
        <f>"37"</f>
        <v>37</v>
      </c>
      <c r="C1347" t="s">
        <v>1189</v>
      </c>
    </row>
    <row r="1348" spans="1:3" x14ac:dyDescent="0.25">
      <c r="A1348" t="str">
        <f t="shared" ref="A1348:A1355" si="47">"37"</f>
        <v>37</v>
      </c>
      <c r="B1348" t="str">
        <f>"37.01"</f>
        <v>37.01</v>
      </c>
      <c r="C1348" t="s">
        <v>1190</v>
      </c>
    </row>
    <row r="1349" spans="1:3" x14ac:dyDescent="0.25">
      <c r="A1349" t="str">
        <f t="shared" si="47"/>
        <v>37</v>
      </c>
      <c r="B1349" t="str">
        <f>"37.0101"</f>
        <v>37.0101</v>
      </c>
      <c r="C1349" t="s">
        <v>1191</v>
      </c>
    </row>
    <row r="1350" spans="1:3" x14ac:dyDescent="0.25">
      <c r="A1350" t="str">
        <f t="shared" si="47"/>
        <v>37</v>
      </c>
      <c r="B1350" t="str">
        <f>"37.0102"</f>
        <v>37.0102</v>
      </c>
      <c r="C1350" t="s">
        <v>1192</v>
      </c>
    </row>
    <row r="1351" spans="1:3" x14ac:dyDescent="0.25">
      <c r="A1351" t="str">
        <f t="shared" si="47"/>
        <v>37</v>
      </c>
      <c r="B1351" t="str">
        <f>"37.0103"</f>
        <v>37.0103</v>
      </c>
      <c r="C1351" t="s">
        <v>1193</v>
      </c>
    </row>
    <row r="1352" spans="1:3" x14ac:dyDescent="0.25">
      <c r="A1352" t="str">
        <f t="shared" si="47"/>
        <v>37</v>
      </c>
      <c r="B1352" t="str">
        <f>"37.0104"</f>
        <v>37.0104</v>
      </c>
      <c r="C1352" t="s">
        <v>1194</v>
      </c>
    </row>
    <row r="1353" spans="1:3" x14ac:dyDescent="0.25">
      <c r="A1353" t="str">
        <f t="shared" si="47"/>
        <v>37</v>
      </c>
      <c r="B1353" t="str">
        <f>"37.0106"</f>
        <v>37.0106</v>
      </c>
      <c r="C1353" t="s">
        <v>1195</v>
      </c>
    </row>
    <row r="1354" spans="1:3" x14ac:dyDescent="0.25">
      <c r="A1354" t="str">
        <f t="shared" si="47"/>
        <v>37</v>
      </c>
      <c r="B1354" t="str">
        <f>"37.0107"</f>
        <v>37.0107</v>
      </c>
      <c r="C1354" t="s">
        <v>1196</v>
      </c>
    </row>
    <row r="1355" spans="1:3" x14ac:dyDescent="0.25">
      <c r="A1355" t="str">
        <f t="shared" si="47"/>
        <v>37</v>
      </c>
      <c r="B1355" t="str">
        <f>"37.0199"</f>
        <v>37.0199</v>
      </c>
      <c r="C1355" t="s">
        <v>1197</v>
      </c>
    </row>
    <row r="1356" spans="1:3" x14ac:dyDescent="0.25">
      <c r="A1356" t="str">
        <f>"38"</f>
        <v>38</v>
      </c>
      <c r="B1356" t="str">
        <f>"38"</f>
        <v>38</v>
      </c>
      <c r="C1356" t="s">
        <v>1198</v>
      </c>
    </row>
    <row r="1357" spans="1:3" x14ac:dyDescent="0.25">
      <c r="A1357" t="str">
        <f t="shared" ref="A1357:A1377" si="48">"38"</f>
        <v>38</v>
      </c>
      <c r="B1357" t="str">
        <f>"38.00"</f>
        <v>38.00</v>
      </c>
      <c r="C1357" t="s">
        <v>1199</v>
      </c>
    </row>
    <row r="1358" spans="1:3" x14ac:dyDescent="0.25">
      <c r="A1358" t="str">
        <f t="shared" si="48"/>
        <v>38</v>
      </c>
      <c r="B1358" t="str">
        <f>"38.0001"</f>
        <v>38.0001</v>
      </c>
      <c r="C1358" t="s">
        <v>1199</v>
      </c>
    </row>
    <row r="1359" spans="1:3" x14ac:dyDescent="0.25">
      <c r="A1359" t="str">
        <f t="shared" si="48"/>
        <v>38</v>
      </c>
      <c r="B1359" t="str">
        <f>"38.01"</f>
        <v>38.01</v>
      </c>
      <c r="C1359" t="s">
        <v>1200</v>
      </c>
    </row>
    <row r="1360" spans="1:3" x14ac:dyDescent="0.25">
      <c r="A1360" t="str">
        <f t="shared" si="48"/>
        <v>38</v>
      </c>
      <c r="B1360" t="str">
        <f>"38.0101"</f>
        <v>38.0101</v>
      </c>
      <c r="C1360" t="s">
        <v>1200</v>
      </c>
    </row>
    <row r="1361" spans="1:3" x14ac:dyDescent="0.25">
      <c r="A1361" t="str">
        <f t="shared" si="48"/>
        <v>38</v>
      </c>
      <c r="B1361" t="str">
        <f>"38.0102"</f>
        <v>38.0102</v>
      </c>
      <c r="C1361" t="s">
        <v>1201</v>
      </c>
    </row>
    <row r="1362" spans="1:3" x14ac:dyDescent="0.25">
      <c r="A1362" t="str">
        <f t="shared" si="48"/>
        <v>38</v>
      </c>
      <c r="B1362" t="str">
        <f>"38.0103"</f>
        <v>38.0103</v>
      </c>
      <c r="C1362" t="s">
        <v>1202</v>
      </c>
    </row>
    <row r="1363" spans="1:3" x14ac:dyDescent="0.25">
      <c r="A1363" t="str">
        <f t="shared" si="48"/>
        <v>38</v>
      </c>
      <c r="B1363" t="str">
        <f>"38.0104"</f>
        <v>38.0104</v>
      </c>
      <c r="C1363" t="s">
        <v>1203</v>
      </c>
    </row>
    <row r="1364" spans="1:3" x14ac:dyDescent="0.25">
      <c r="A1364" t="str">
        <f t="shared" si="48"/>
        <v>38</v>
      </c>
      <c r="B1364" t="str">
        <f>"38.0199"</f>
        <v>38.0199</v>
      </c>
      <c r="C1364" t="s">
        <v>1204</v>
      </c>
    </row>
    <row r="1365" spans="1:3" x14ac:dyDescent="0.25">
      <c r="A1365" t="str">
        <f t="shared" si="48"/>
        <v>38</v>
      </c>
      <c r="B1365" t="str">
        <f>"38.02"</f>
        <v>38.02</v>
      </c>
      <c r="C1365" t="s">
        <v>1205</v>
      </c>
    </row>
    <row r="1366" spans="1:3" x14ac:dyDescent="0.25">
      <c r="A1366" t="str">
        <f t="shared" si="48"/>
        <v>38</v>
      </c>
      <c r="B1366" t="str">
        <f>"38.0201"</f>
        <v>38.0201</v>
      </c>
      <c r="C1366" t="s">
        <v>1205</v>
      </c>
    </row>
    <row r="1367" spans="1:3" x14ac:dyDescent="0.25">
      <c r="A1367" t="str">
        <f t="shared" si="48"/>
        <v>38</v>
      </c>
      <c r="B1367" t="str">
        <f>"38.0202"</f>
        <v>38.0202</v>
      </c>
      <c r="C1367" t="s">
        <v>1206</v>
      </c>
    </row>
    <row r="1368" spans="1:3" x14ac:dyDescent="0.25">
      <c r="A1368" t="str">
        <f t="shared" si="48"/>
        <v>38</v>
      </c>
      <c r="B1368" t="str">
        <f>"38.0203"</f>
        <v>38.0203</v>
      </c>
      <c r="C1368" t="s">
        <v>1207</v>
      </c>
    </row>
    <row r="1369" spans="1:3" x14ac:dyDescent="0.25">
      <c r="A1369" t="str">
        <f t="shared" si="48"/>
        <v>38</v>
      </c>
      <c r="B1369" t="str">
        <f>"38.0204"</f>
        <v>38.0204</v>
      </c>
      <c r="C1369" t="s">
        <v>1208</v>
      </c>
    </row>
    <row r="1370" spans="1:3" x14ac:dyDescent="0.25">
      <c r="A1370" t="str">
        <f t="shared" si="48"/>
        <v>38</v>
      </c>
      <c r="B1370" t="str">
        <f>"38.0205"</f>
        <v>38.0205</v>
      </c>
      <c r="C1370" t="s">
        <v>1209</v>
      </c>
    </row>
    <row r="1371" spans="1:3" x14ac:dyDescent="0.25">
      <c r="A1371" t="str">
        <f t="shared" si="48"/>
        <v>38</v>
      </c>
      <c r="B1371" t="str">
        <f>"38.0206"</f>
        <v>38.0206</v>
      </c>
      <c r="C1371" t="s">
        <v>1210</v>
      </c>
    </row>
    <row r="1372" spans="1:3" x14ac:dyDescent="0.25">
      <c r="A1372" t="str">
        <f t="shared" si="48"/>
        <v>38</v>
      </c>
      <c r="B1372" t="str">
        <f>"38.0207"</f>
        <v>38.0207</v>
      </c>
      <c r="C1372" t="s">
        <v>1211</v>
      </c>
    </row>
    <row r="1373" spans="1:3" x14ac:dyDescent="0.25">
      <c r="A1373" t="str">
        <f t="shared" si="48"/>
        <v>38</v>
      </c>
      <c r="B1373" t="str">
        <f>"38.0208"</f>
        <v>38.0208</v>
      </c>
      <c r="C1373" t="s">
        <v>1212</v>
      </c>
    </row>
    <row r="1374" spans="1:3" x14ac:dyDescent="0.25">
      <c r="A1374" t="str">
        <f t="shared" si="48"/>
        <v>38</v>
      </c>
      <c r="B1374" t="str">
        <f>"38.0209"</f>
        <v>38.0209</v>
      </c>
      <c r="C1374" t="s">
        <v>1213</v>
      </c>
    </row>
    <row r="1375" spans="1:3" x14ac:dyDescent="0.25">
      <c r="A1375" t="str">
        <f t="shared" si="48"/>
        <v>38</v>
      </c>
      <c r="B1375" t="str">
        <f>"38.0299"</f>
        <v>38.0299</v>
      </c>
      <c r="C1375" t="s">
        <v>1214</v>
      </c>
    </row>
    <row r="1376" spans="1:3" x14ac:dyDescent="0.25">
      <c r="A1376" t="str">
        <f t="shared" si="48"/>
        <v>38</v>
      </c>
      <c r="B1376" t="str">
        <f>"38.99"</f>
        <v>38.99</v>
      </c>
      <c r="C1376" t="s">
        <v>1215</v>
      </c>
    </row>
    <row r="1377" spans="1:3" x14ac:dyDescent="0.25">
      <c r="A1377" t="str">
        <f t="shared" si="48"/>
        <v>38</v>
      </c>
      <c r="B1377" t="str">
        <f>"38.9999"</f>
        <v>38.9999</v>
      </c>
      <c r="C1377" t="s">
        <v>1215</v>
      </c>
    </row>
    <row r="1378" spans="1:3" x14ac:dyDescent="0.25">
      <c r="A1378" t="str">
        <f>"39"</f>
        <v>39</v>
      </c>
      <c r="B1378" t="str">
        <f>"39"</f>
        <v>39</v>
      </c>
      <c r="C1378" t="s">
        <v>1216</v>
      </c>
    </row>
    <row r="1379" spans="1:3" x14ac:dyDescent="0.25">
      <c r="A1379" t="str">
        <f t="shared" ref="A1379:A1411" si="49">"39"</f>
        <v>39</v>
      </c>
      <c r="B1379" t="str">
        <f>"39.02"</f>
        <v>39.02</v>
      </c>
      <c r="C1379" t="s">
        <v>1217</v>
      </c>
    </row>
    <row r="1380" spans="1:3" x14ac:dyDescent="0.25">
      <c r="A1380" t="str">
        <f t="shared" si="49"/>
        <v>39</v>
      </c>
      <c r="B1380" t="str">
        <f>"39.0201"</f>
        <v>39.0201</v>
      </c>
      <c r="C1380" t="s">
        <v>1217</v>
      </c>
    </row>
    <row r="1381" spans="1:3" x14ac:dyDescent="0.25">
      <c r="A1381" t="str">
        <f t="shared" si="49"/>
        <v>39</v>
      </c>
      <c r="B1381" t="str">
        <f>"39.03"</f>
        <v>39.03</v>
      </c>
      <c r="C1381" t="s">
        <v>1218</v>
      </c>
    </row>
    <row r="1382" spans="1:3" x14ac:dyDescent="0.25">
      <c r="A1382" t="str">
        <f t="shared" si="49"/>
        <v>39</v>
      </c>
      <c r="B1382" t="str">
        <f>"39.0301"</f>
        <v>39.0301</v>
      </c>
      <c r="C1382" t="s">
        <v>1219</v>
      </c>
    </row>
    <row r="1383" spans="1:3" x14ac:dyDescent="0.25">
      <c r="A1383" t="str">
        <f t="shared" si="49"/>
        <v>39</v>
      </c>
      <c r="B1383" t="str">
        <f>"39.0302"</f>
        <v>39.0302</v>
      </c>
      <c r="C1383" t="s">
        <v>1220</v>
      </c>
    </row>
    <row r="1384" spans="1:3" x14ac:dyDescent="0.25">
      <c r="A1384" t="str">
        <f t="shared" si="49"/>
        <v>39</v>
      </c>
      <c r="B1384" t="str">
        <f>"39.0399"</f>
        <v>39.0399</v>
      </c>
      <c r="C1384" t="s">
        <v>1221</v>
      </c>
    </row>
    <row r="1385" spans="1:3" x14ac:dyDescent="0.25">
      <c r="A1385" t="str">
        <f t="shared" si="49"/>
        <v>39</v>
      </c>
      <c r="B1385" t="str">
        <f>"39.04"</f>
        <v>39.04</v>
      </c>
      <c r="C1385" t="s">
        <v>1222</v>
      </c>
    </row>
    <row r="1386" spans="1:3" x14ac:dyDescent="0.25">
      <c r="A1386" t="str">
        <f t="shared" si="49"/>
        <v>39</v>
      </c>
      <c r="B1386" t="str">
        <f>"39.0401"</f>
        <v>39.0401</v>
      </c>
      <c r="C1386" t="s">
        <v>1222</v>
      </c>
    </row>
    <row r="1387" spans="1:3" x14ac:dyDescent="0.25">
      <c r="A1387" t="str">
        <f t="shared" si="49"/>
        <v>39</v>
      </c>
      <c r="B1387" t="str">
        <f>"39.05"</f>
        <v>39.05</v>
      </c>
      <c r="C1387" t="s">
        <v>1223</v>
      </c>
    </row>
    <row r="1388" spans="1:3" x14ac:dyDescent="0.25">
      <c r="A1388" t="str">
        <f t="shared" si="49"/>
        <v>39</v>
      </c>
      <c r="B1388" t="str">
        <f>"39.0501"</f>
        <v>39.0501</v>
      </c>
      <c r="C1388" t="s">
        <v>1224</v>
      </c>
    </row>
    <row r="1389" spans="1:3" x14ac:dyDescent="0.25">
      <c r="A1389" t="str">
        <f t="shared" si="49"/>
        <v>39</v>
      </c>
      <c r="B1389" t="str">
        <f>"39.0502"</f>
        <v>39.0502</v>
      </c>
      <c r="C1389" t="s">
        <v>1225</v>
      </c>
    </row>
    <row r="1390" spans="1:3" x14ac:dyDescent="0.25">
      <c r="A1390" t="str">
        <f t="shared" si="49"/>
        <v>39</v>
      </c>
      <c r="B1390" t="str">
        <f>"39.0599"</f>
        <v>39.0599</v>
      </c>
      <c r="C1390" t="s">
        <v>1226</v>
      </c>
    </row>
    <row r="1391" spans="1:3" x14ac:dyDescent="0.25">
      <c r="A1391" t="str">
        <f t="shared" si="49"/>
        <v>39</v>
      </c>
      <c r="B1391" t="str">
        <f>"39.06"</f>
        <v>39.06</v>
      </c>
      <c r="C1391" t="s">
        <v>1227</v>
      </c>
    </row>
    <row r="1392" spans="1:3" x14ac:dyDescent="0.25">
      <c r="A1392" t="str">
        <f t="shared" si="49"/>
        <v>39</v>
      </c>
      <c r="B1392" t="str">
        <f>"39.0601"</f>
        <v>39.0601</v>
      </c>
      <c r="C1392" t="s">
        <v>1228</v>
      </c>
    </row>
    <row r="1393" spans="1:3" x14ac:dyDescent="0.25">
      <c r="A1393" t="str">
        <f t="shared" si="49"/>
        <v>39</v>
      </c>
      <c r="B1393" t="str">
        <f>"39.0602"</f>
        <v>39.0602</v>
      </c>
      <c r="C1393" t="s">
        <v>1229</v>
      </c>
    </row>
    <row r="1394" spans="1:3" x14ac:dyDescent="0.25">
      <c r="A1394" t="str">
        <f t="shared" si="49"/>
        <v>39</v>
      </c>
      <c r="B1394" t="str">
        <f>"39.0604"</f>
        <v>39.0604</v>
      </c>
      <c r="C1394" t="s">
        <v>1230</v>
      </c>
    </row>
    <row r="1395" spans="1:3" x14ac:dyDescent="0.25">
      <c r="A1395" t="str">
        <f t="shared" si="49"/>
        <v>39</v>
      </c>
      <c r="B1395" t="str">
        <f>"39.0605"</f>
        <v>39.0605</v>
      </c>
      <c r="C1395" t="s">
        <v>1231</v>
      </c>
    </row>
    <row r="1396" spans="1:3" x14ac:dyDescent="0.25">
      <c r="A1396" t="str">
        <f t="shared" si="49"/>
        <v>39</v>
      </c>
      <c r="B1396" t="str">
        <f>"39.0606"</f>
        <v>39.0606</v>
      </c>
      <c r="C1396" t="s">
        <v>1211</v>
      </c>
    </row>
    <row r="1397" spans="1:3" x14ac:dyDescent="0.25">
      <c r="A1397" t="str">
        <f t="shared" si="49"/>
        <v>39</v>
      </c>
      <c r="B1397" t="str">
        <f>"39.0699"</f>
        <v>39.0699</v>
      </c>
      <c r="C1397" t="s">
        <v>1232</v>
      </c>
    </row>
    <row r="1398" spans="1:3" x14ac:dyDescent="0.25">
      <c r="A1398" t="str">
        <f t="shared" si="49"/>
        <v>39</v>
      </c>
      <c r="B1398" t="str">
        <f>"39.07"</f>
        <v>39.07</v>
      </c>
      <c r="C1398" t="s">
        <v>1233</v>
      </c>
    </row>
    <row r="1399" spans="1:3" x14ac:dyDescent="0.25">
      <c r="A1399" t="str">
        <f t="shared" si="49"/>
        <v>39</v>
      </c>
      <c r="B1399" t="str">
        <f>"39.0701"</f>
        <v>39.0701</v>
      </c>
      <c r="C1399" t="s">
        <v>1234</v>
      </c>
    </row>
    <row r="1400" spans="1:3" x14ac:dyDescent="0.25">
      <c r="A1400" t="str">
        <f t="shared" si="49"/>
        <v>39</v>
      </c>
      <c r="B1400" t="str">
        <f>"39.0702"</f>
        <v>39.0702</v>
      </c>
      <c r="C1400" t="s">
        <v>1235</v>
      </c>
    </row>
    <row r="1401" spans="1:3" x14ac:dyDescent="0.25">
      <c r="A1401" t="str">
        <f t="shared" si="49"/>
        <v>39</v>
      </c>
      <c r="B1401" t="str">
        <f>"39.0703"</f>
        <v>39.0703</v>
      </c>
      <c r="C1401" t="s">
        <v>1236</v>
      </c>
    </row>
    <row r="1402" spans="1:3" x14ac:dyDescent="0.25">
      <c r="A1402" t="str">
        <f t="shared" si="49"/>
        <v>39</v>
      </c>
      <c r="B1402" t="str">
        <f>"39.0704"</f>
        <v>39.0704</v>
      </c>
      <c r="C1402" t="s">
        <v>1237</v>
      </c>
    </row>
    <row r="1403" spans="1:3" x14ac:dyDescent="0.25">
      <c r="A1403" t="str">
        <f t="shared" si="49"/>
        <v>39</v>
      </c>
      <c r="B1403" t="str">
        <f>"39.0705"</f>
        <v>39.0705</v>
      </c>
      <c r="C1403" t="s">
        <v>1238</v>
      </c>
    </row>
    <row r="1404" spans="1:3" x14ac:dyDescent="0.25">
      <c r="A1404" t="str">
        <f t="shared" si="49"/>
        <v>39</v>
      </c>
      <c r="B1404" t="str">
        <f>"39.0706"</f>
        <v>39.0706</v>
      </c>
      <c r="C1404" t="s">
        <v>1239</v>
      </c>
    </row>
    <row r="1405" spans="1:3" x14ac:dyDescent="0.25">
      <c r="A1405" t="str">
        <f t="shared" si="49"/>
        <v>39</v>
      </c>
      <c r="B1405" t="str">
        <f>"39.0799"</f>
        <v>39.0799</v>
      </c>
      <c r="C1405" t="s">
        <v>1240</v>
      </c>
    </row>
    <row r="1406" spans="1:3" x14ac:dyDescent="0.25">
      <c r="A1406" t="str">
        <f t="shared" si="49"/>
        <v>39</v>
      </c>
      <c r="B1406" t="str">
        <f>"39.08"</f>
        <v>39.08</v>
      </c>
      <c r="C1406" t="s">
        <v>1241</v>
      </c>
    </row>
    <row r="1407" spans="1:3" x14ac:dyDescent="0.25">
      <c r="A1407" t="str">
        <f t="shared" si="49"/>
        <v>39</v>
      </c>
      <c r="B1407" t="str">
        <f>"39.0801"</f>
        <v>39.0801</v>
      </c>
      <c r="C1407" t="s">
        <v>1242</v>
      </c>
    </row>
    <row r="1408" spans="1:3" x14ac:dyDescent="0.25">
      <c r="A1408" t="str">
        <f t="shared" si="49"/>
        <v>39</v>
      </c>
      <c r="B1408" t="str">
        <f>"39.0802"</f>
        <v>39.0802</v>
      </c>
      <c r="C1408" t="s">
        <v>1243</v>
      </c>
    </row>
    <row r="1409" spans="1:3" x14ac:dyDescent="0.25">
      <c r="A1409" t="str">
        <f t="shared" si="49"/>
        <v>39</v>
      </c>
      <c r="B1409" t="str">
        <f>"39.0899"</f>
        <v>39.0899</v>
      </c>
      <c r="C1409" t="s">
        <v>1244</v>
      </c>
    </row>
    <row r="1410" spans="1:3" x14ac:dyDescent="0.25">
      <c r="A1410" t="str">
        <f t="shared" si="49"/>
        <v>39</v>
      </c>
      <c r="B1410" t="str">
        <f>"39.99"</f>
        <v>39.99</v>
      </c>
      <c r="C1410" t="s">
        <v>1245</v>
      </c>
    </row>
    <row r="1411" spans="1:3" x14ac:dyDescent="0.25">
      <c r="A1411" t="str">
        <f t="shared" si="49"/>
        <v>39</v>
      </c>
      <c r="B1411" t="str">
        <f>"39.9999"</f>
        <v>39.9999</v>
      </c>
      <c r="C1411" t="s">
        <v>1245</v>
      </c>
    </row>
    <row r="1412" spans="1:3" x14ac:dyDescent="0.25">
      <c r="A1412" t="str">
        <f>"40"</f>
        <v>40</v>
      </c>
      <c r="B1412" t="str">
        <f>"40"</f>
        <v>40</v>
      </c>
      <c r="C1412" t="s">
        <v>1246</v>
      </c>
    </row>
    <row r="1413" spans="1:3" x14ac:dyDescent="0.25">
      <c r="A1413" t="str">
        <f t="shared" ref="A1413:A1444" si="50">"40"</f>
        <v>40</v>
      </c>
      <c r="B1413" t="str">
        <f>"40.01"</f>
        <v>40.01</v>
      </c>
      <c r="C1413" t="s">
        <v>1247</v>
      </c>
    </row>
    <row r="1414" spans="1:3" x14ac:dyDescent="0.25">
      <c r="A1414" t="str">
        <f t="shared" si="50"/>
        <v>40</v>
      </c>
      <c r="B1414" t="str">
        <f>"40.0101"</f>
        <v>40.0101</v>
      </c>
      <c r="C1414" t="s">
        <v>1247</v>
      </c>
    </row>
    <row r="1415" spans="1:3" x14ac:dyDescent="0.25">
      <c r="A1415" t="str">
        <f t="shared" si="50"/>
        <v>40</v>
      </c>
      <c r="B1415" t="str">
        <f>"40.02"</f>
        <v>40.02</v>
      </c>
      <c r="C1415" t="s">
        <v>1248</v>
      </c>
    </row>
    <row r="1416" spans="1:3" x14ac:dyDescent="0.25">
      <c r="A1416" t="str">
        <f t="shared" si="50"/>
        <v>40</v>
      </c>
      <c r="B1416" t="str">
        <f>"40.0201"</f>
        <v>40.0201</v>
      </c>
      <c r="C1416" t="s">
        <v>1249</v>
      </c>
    </row>
    <row r="1417" spans="1:3" x14ac:dyDescent="0.25">
      <c r="A1417" t="str">
        <f t="shared" si="50"/>
        <v>40</v>
      </c>
      <c r="B1417" t="str">
        <f>"40.0202"</f>
        <v>40.0202</v>
      </c>
      <c r="C1417" t="s">
        <v>1250</v>
      </c>
    </row>
    <row r="1418" spans="1:3" x14ac:dyDescent="0.25">
      <c r="A1418" t="str">
        <f t="shared" si="50"/>
        <v>40</v>
      </c>
      <c r="B1418" t="str">
        <f>"40.0203"</f>
        <v>40.0203</v>
      </c>
      <c r="C1418" t="s">
        <v>1251</v>
      </c>
    </row>
    <row r="1419" spans="1:3" x14ac:dyDescent="0.25">
      <c r="A1419" t="str">
        <f t="shared" si="50"/>
        <v>40</v>
      </c>
      <c r="B1419" t="str">
        <f>"40.0299"</f>
        <v>40.0299</v>
      </c>
      <c r="C1419" t="s">
        <v>1252</v>
      </c>
    </row>
    <row r="1420" spans="1:3" x14ac:dyDescent="0.25">
      <c r="A1420" t="str">
        <f t="shared" si="50"/>
        <v>40</v>
      </c>
      <c r="B1420" t="str">
        <f>"40.04"</f>
        <v>40.04</v>
      </c>
      <c r="C1420" t="s">
        <v>1253</v>
      </c>
    </row>
    <row r="1421" spans="1:3" x14ac:dyDescent="0.25">
      <c r="A1421" t="str">
        <f t="shared" si="50"/>
        <v>40</v>
      </c>
      <c r="B1421" t="str">
        <f>"40.0401"</f>
        <v>40.0401</v>
      </c>
      <c r="C1421" t="s">
        <v>1254</v>
      </c>
    </row>
    <row r="1422" spans="1:3" x14ac:dyDescent="0.25">
      <c r="A1422" t="str">
        <f t="shared" si="50"/>
        <v>40</v>
      </c>
      <c r="B1422" t="str">
        <f>"40.0402"</f>
        <v>40.0402</v>
      </c>
      <c r="C1422" t="s">
        <v>1255</v>
      </c>
    </row>
    <row r="1423" spans="1:3" x14ac:dyDescent="0.25">
      <c r="A1423" t="str">
        <f t="shared" si="50"/>
        <v>40</v>
      </c>
      <c r="B1423" t="str">
        <f>"40.0403"</f>
        <v>40.0403</v>
      </c>
      <c r="C1423" t="s">
        <v>1256</v>
      </c>
    </row>
    <row r="1424" spans="1:3" x14ac:dyDescent="0.25">
      <c r="A1424" t="str">
        <f t="shared" si="50"/>
        <v>40</v>
      </c>
      <c r="B1424" t="str">
        <f>"40.0404"</f>
        <v>40.0404</v>
      </c>
      <c r="C1424" t="s">
        <v>1257</v>
      </c>
    </row>
    <row r="1425" spans="1:3" x14ac:dyDescent="0.25">
      <c r="A1425" t="str">
        <f t="shared" si="50"/>
        <v>40</v>
      </c>
      <c r="B1425" t="str">
        <f>"40.0499"</f>
        <v>40.0499</v>
      </c>
      <c r="C1425" t="s">
        <v>1258</v>
      </c>
    </row>
    <row r="1426" spans="1:3" x14ac:dyDescent="0.25">
      <c r="A1426" t="str">
        <f t="shared" si="50"/>
        <v>40</v>
      </c>
      <c r="B1426" t="str">
        <f>"40.05"</f>
        <v>40.05</v>
      </c>
      <c r="C1426" t="s">
        <v>1259</v>
      </c>
    </row>
    <row r="1427" spans="1:3" x14ac:dyDescent="0.25">
      <c r="A1427" t="str">
        <f t="shared" si="50"/>
        <v>40</v>
      </c>
      <c r="B1427" t="str">
        <f>"40.0501"</f>
        <v>40.0501</v>
      </c>
      <c r="C1427" t="s">
        <v>1260</v>
      </c>
    </row>
    <row r="1428" spans="1:3" x14ac:dyDescent="0.25">
      <c r="A1428" t="str">
        <f t="shared" si="50"/>
        <v>40</v>
      </c>
      <c r="B1428" t="str">
        <f>"40.0502"</f>
        <v>40.0502</v>
      </c>
      <c r="C1428" t="s">
        <v>1261</v>
      </c>
    </row>
    <row r="1429" spans="1:3" x14ac:dyDescent="0.25">
      <c r="A1429" t="str">
        <f t="shared" si="50"/>
        <v>40</v>
      </c>
      <c r="B1429" t="str">
        <f>"40.0503"</f>
        <v>40.0503</v>
      </c>
      <c r="C1429" t="s">
        <v>1262</v>
      </c>
    </row>
    <row r="1430" spans="1:3" x14ac:dyDescent="0.25">
      <c r="A1430" t="str">
        <f t="shared" si="50"/>
        <v>40</v>
      </c>
      <c r="B1430" t="str">
        <f>"40.0504"</f>
        <v>40.0504</v>
      </c>
      <c r="C1430" t="s">
        <v>1263</v>
      </c>
    </row>
    <row r="1431" spans="1:3" x14ac:dyDescent="0.25">
      <c r="A1431" t="str">
        <f t="shared" si="50"/>
        <v>40</v>
      </c>
      <c r="B1431" t="str">
        <f>"40.0506"</f>
        <v>40.0506</v>
      </c>
      <c r="C1431" t="s">
        <v>1264</v>
      </c>
    </row>
    <row r="1432" spans="1:3" x14ac:dyDescent="0.25">
      <c r="A1432" t="str">
        <f t="shared" si="50"/>
        <v>40</v>
      </c>
      <c r="B1432" t="str">
        <f>"40.0507"</f>
        <v>40.0507</v>
      </c>
      <c r="C1432" t="s">
        <v>1265</v>
      </c>
    </row>
    <row r="1433" spans="1:3" x14ac:dyDescent="0.25">
      <c r="A1433" t="str">
        <f t="shared" si="50"/>
        <v>40</v>
      </c>
      <c r="B1433" t="str">
        <f>"40.0508"</f>
        <v>40.0508</v>
      </c>
      <c r="C1433" t="s">
        <v>1266</v>
      </c>
    </row>
    <row r="1434" spans="1:3" x14ac:dyDescent="0.25">
      <c r="A1434" t="str">
        <f t="shared" si="50"/>
        <v>40</v>
      </c>
      <c r="B1434" t="str">
        <f>"40.0509"</f>
        <v>40.0509</v>
      </c>
      <c r="C1434" t="s">
        <v>1267</v>
      </c>
    </row>
    <row r="1435" spans="1:3" x14ac:dyDescent="0.25">
      <c r="A1435" t="str">
        <f t="shared" si="50"/>
        <v>40</v>
      </c>
      <c r="B1435" t="str">
        <f>"40.0510"</f>
        <v>40.0510</v>
      </c>
      <c r="C1435" t="s">
        <v>1268</v>
      </c>
    </row>
    <row r="1436" spans="1:3" x14ac:dyDescent="0.25">
      <c r="A1436" t="str">
        <f t="shared" si="50"/>
        <v>40</v>
      </c>
      <c r="B1436" t="str">
        <f>"40.0511"</f>
        <v>40.0511</v>
      </c>
      <c r="C1436" t="s">
        <v>1269</v>
      </c>
    </row>
    <row r="1437" spans="1:3" x14ac:dyDescent="0.25">
      <c r="A1437" t="str">
        <f t="shared" si="50"/>
        <v>40</v>
      </c>
      <c r="B1437" t="str">
        <f>"40.0512"</f>
        <v>40.0512</v>
      </c>
      <c r="C1437" t="s">
        <v>1270</v>
      </c>
    </row>
    <row r="1438" spans="1:3" x14ac:dyDescent="0.25">
      <c r="A1438" t="str">
        <f t="shared" si="50"/>
        <v>40</v>
      </c>
      <c r="B1438" t="str">
        <f>"40.0599"</f>
        <v>40.0599</v>
      </c>
      <c r="C1438" t="s">
        <v>1271</v>
      </c>
    </row>
    <row r="1439" spans="1:3" x14ac:dyDescent="0.25">
      <c r="A1439" t="str">
        <f t="shared" si="50"/>
        <v>40</v>
      </c>
      <c r="B1439" t="str">
        <f>"40.06"</f>
        <v>40.06</v>
      </c>
      <c r="C1439" t="s">
        <v>1272</v>
      </c>
    </row>
    <row r="1440" spans="1:3" x14ac:dyDescent="0.25">
      <c r="A1440" t="str">
        <f t="shared" si="50"/>
        <v>40</v>
      </c>
      <c r="B1440" t="str">
        <f>"40.0601"</f>
        <v>40.0601</v>
      </c>
      <c r="C1440" t="s">
        <v>1273</v>
      </c>
    </row>
    <row r="1441" spans="1:3" x14ac:dyDescent="0.25">
      <c r="A1441" t="str">
        <f t="shared" si="50"/>
        <v>40</v>
      </c>
      <c r="B1441" t="str">
        <f>"40.0602"</f>
        <v>40.0602</v>
      </c>
      <c r="C1441" t="s">
        <v>1274</v>
      </c>
    </row>
    <row r="1442" spans="1:3" x14ac:dyDescent="0.25">
      <c r="A1442" t="str">
        <f t="shared" si="50"/>
        <v>40</v>
      </c>
      <c r="B1442" t="str">
        <f>"40.0603"</f>
        <v>40.0603</v>
      </c>
      <c r="C1442" t="s">
        <v>1275</v>
      </c>
    </row>
    <row r="1443" spans="1:3" x14ac:dyDescent="0.25">
      <c r="A1443" t="str">
        <f t="shared" si="50"/>
        <v>40</v>
      </c>
      <c r="B1443" t="str">
        <f>"40.0604"</f>
        <v>40.0604</v>
      </c>
      <c r="C1443" t="s">
        <v>1276</v>
      </c>
    </row>
    <row r="1444" spans="1:3" x14ac:dyDescent="0.25">
      <c r="A1444" t="str">
        <f t="shared" si="50"/>
        <v>40</v>
      </c>
      <c r="B1444" t="str">
        <f>"40.0605"</f>
        <v>40.0605</v>
      </c>
      <c r="C1444" t="s">
        <v>1277</v>
      </c>
    </row>
    <row r="1445" spans="1:3" x14ac:dyDescent="0.25">
      <c r="A1445" t="str">
        <f t="shared" ref="A1445:A1466" si="51">"40"</f>
        <v>40</v>
      </c>
      <c r="B1445" t="str">
        <f>"40.0606"</f>
        <v>40.0606</v>
      </c>
      <c r="C1445" t="s">
        <v>1278</v>
      </c>
    </row>
    <row r="1446" spans="1:3" x14ac:dyDescent="0.25">
      <c r="A1446" t="str">
        <f t="shared" si="51"/>
        <v>40</v>
      </c>
      <c r="B1446" t="str">
        <f>"40.0607"</f>
        <v>40.0607</v>
      </c>
      <c r="C1446" t="s">
        <v>1279</v>
      </c>
    </row>
    <row r="1447" spans="1:3" x14ac:dyDescent="0.25">
      <c r="A1447" t="str">
        <f t="shared" si="51"/>
        <v>40</v>
      </c>
      <c r="B1447" t="str">
        <f>"40.0699"</f>
        <v>40.0699</v>
      </c>
      <c r="C1447" t="s">
        <v>1280</v>
      </c>
    </row>
    <row r="1448" spans="1:3" x14ac:dyDescent="0.25">
      <c r="A1448" t="str">
        <f t="shared" si="51"/>
        <v>40</v>
      </c>
      <c r="B1448" t="str">
        <f>"40.08"</f>
        <v>40.08</v>
      </c>
      <c r="C1448" t="s">
        <v>1281</v>
      </c>
    </row>
    <row r="1449" spans="1:3" x14ac:dyDescent="0.25">
      <c r="A1449" t="str">
        <f t="shared" si="51"/>
        <v>40</v>
      </c>
      <c r="B1449" t="str">
        <f>"40.0801"</f>
        <v>40.0801</v>
      </c>
      <c r="C1449" t="s">
        <v>1282</v>
      </c>
    </row>
    <row r="1450" spans="1:3" x14ac:dyDescent="0.25">
      <c r="A1450" t="str">
        <f t="shared" si="51"/>
        <v>40</v>
      </c>
      <c r="B1450" t="str">
        <f>"40.0802"</f>
        <v>40.0802</v>
      </c>
      <c r="C1450" t="s">
        <v>1283</v>
      </c>
    </row>
    <row r="1451" spans="1:3" x14ac:dyDescent="0.25">
      <c r="A1451" t="str">
        <f t="shared" si="51"/>
        <v>40</v>
      </c>
      <c r="B1451" t="str">
        <f>"40.0804"</f>
        <v>40.0804</v>
      </c>
      <c r="C1451" t="s">
        <v>1284</v>
      </c>
    </row>
    <row r="1452" spans="1:3" x14ac:dyDescent="0.25">
      <c r="A1452" t="str">
        <f t="shared" si="51"/>
        <v>40</v>
      </c>
      <c r="B1452" t="str">
        <f>"40.0805"</f>
        <v>40.0805</v>
      </c>
      <c r="C1452" t="s">
        <v>1285</v>
      </c>
    </row>
    <row r="1453" spans="1:3" x14ac:dyDescent="0.25">
      <c r="A1453" t="str">
        <f t="shared" si="51"/>
        <v>40</v>
      </c>
      <c r="B1453" t="str">
        <f>"40.0806"</f>
        <v>40.0806</v>
      </c>
      <c r="C1453" t="s">
        <v>1286</v>
      </c>
    </row>
    <row r="1454" spans="1:3" x14ac:dyDescent="0.25">
      <c r="A1454" t="str">
        <f t="shared" si="51"/>
        <v>40</v>
      </c>
      <c r="B1454" t="str">
        <f>"40.0807"</f>
        <v>40.0807</v>
      </c>
      <c r="C1454" t="s">
        <v>1287</v>
      </c>
    </row>
    <row r="1455" spans="1:3" x14ac:dyDescent="0.25">
      <c r="A1455" t="str">
        <f t="shared" si="51"/>
        <v>40</v>
      </c>
      <c r="B1455" t="str">
        <f>"40.0808"</f>
        <v>40.0808</v>
      </c>
      <c r="C1455" t="s">
        <v>1288</v>
      </c>
    </row>
    <row r="1456" spans="1:3" x14ac:dyDescent="0.25">
      <c r="A1456" t="str">
        <f t="shared" si="51"/>
        <v>40</v>
      </c>
      <c r="B1456" t="str">
        <f>"40.0809"</f>
        <v>40.0809</v>
      </c>
      <c r="C1456" t="s">
        <v>1289</v>
      </c>
    </row>
    <row r="1457" spans="1:3" x14ac:dyDescent="0.25">
      <c r="A1457" t="str">
        <f t="shared" si="51"/>
        <v>40</v>
      </c>
      <c r="B1457" t="str">
        <f>"40.0810"</f>
        <v>40.0810</v>
      </c>
      <c r="C1457" t="s">
        <v>1290</v>
      </c>
    </row>
    <row r="1458" spans="1:3" x14ac:dyDescent="0.25">
      <c r="A1458" t="str">
        <f t="shared" si="51"/>
        <v>40</v>
      </c>
      <c r="B1458" t="str">
        <f>"40.0899"</f>
        <v>40.0899</v>
      </c>
      <c r="C1458" t="s">
        <v>1291</v>
      </c>
    </row>
    <row r="1459" spans="1:3" x14ac:dyDescent="0.25">
      <c r="A1459" t="str">
        <f t="shared" si="51"/>
        <v>40</v>
      </c>
      <c r="B1459" t="str">
        <f>"40.10"</f>
        <v>40.10</v>
      </c>
      <c r="C1459" t="s">
        <v>1292</v>
      </c>
    </row>
    <row r="1460" spans="1:3" x14ac:dyDescent="0.25">
      <c r="A1460" t="str">
        <f t="shared" si="51"/>
        <v>40</v>
      </c>
      <c r="B1460" t="str">
        <f>"40.1001"</f>
        <v>40.1001</v>
      </c>
      <c r="C1460" t="s">
        <v>1293</v>
      </c>
    </row>
    <row r="1461" spans="1:3" x14ac:dyDescent="0.25">
      <c r="A1461" t="str">
        <f t="shared" si="51"/>
        <v>40</v>
      </c>
      <c r="B1461" t="str">
        <f>"40.1002"</f>
        <v>40.1002</v>
      </c>
      <c r="C1461" t="s">
        <v>1294</v>
      </c>
    </row>
    <row r="1462" spans="1:3" x14ac:dyDescent="0.25">
      <c r="A1462" t="str">
        <f t="shared" si="51"/>
        <v>40</v>
      </c>
      <c r="B1462" t="str">
        <f>"40.1099"</f>
        <v>40.1099</v>
      </c>
      <c r="C1462" t="s">
        <v>1295</v>
      </c>
    </row>
    <row r="1463" spans="1:3" x14ac:dyDescent="0.25">
      <c r="A1463" t="str">
        <f t="shared" si="51"/>
        <v>40</v>
      </c>
      <c r="B1463" t="str">
        <f>"40.11"</f>
        <v>40.11</v>
      </c>
      <c r="C1463" t="s">
        <v>1296</v>
      </c>
    </row>
    <row r="1464" spans="1:3" x14ac:dyDescent="0.25">
      <c r="A1464" t="str">
        <f t="shared" si="51"/>
        <v>40</v>
      </c>
      <c r="B1464" t="str">
        <f>"40.1101"</f>
        <v>40.1101</v>
      </c>
      <c r="C1464" t="s">
        <v>1296</v>
      </c>
    </row>
    <row r="1465" spans="1:3" x14ac:dyDescent="0.25">
      <c r="A1465" t="str">
        <f t="shared" si="51"/>
        <v>40</v>
      </c>
      <c r="B1465" t="str">
        <f>"40.99"</f>
        <v>40.99</v>
      </c>
      <c r="C1465" t="s">
        <v>1297</v>
      </c>
    </row>
    <row r="1466" spans="1:3" x14ac:dyDescent="0.25">
      <c r="A1466" t="str">
        <f t="shared" si="51"/>
        <v>40</v>
      </c>
      <c r="B1466" t="str">
        <f>"40.9999"</f>
        <v>40.9999</v>
      </c>
      <c r="C1466" t="s">
        <v>1297</v>
      </c>
    </row>
    <row r="1467" spans="1:3" x14ac:dyDescent="0.25">
      <c r="A1467" t="str">
        <f>"41"</f>
        <v>41</v>
      </c>
      <c r="B1467" t="str">
        <f>"41"</f>
        <v>41</v>
      </c>
      <c r="C1467" t="s">
        <v>1298</v>
      </c>
    </row>
    <row r="1468" spans="1:3" x14ac:dyDescent="0.25">
      <c r="A1468" t="str">
        <f t="shared" ref="A1468:A1481" si="52">"41"</f>
        <v>41</v>
      </c>
      <c r="B1468" t="str">
        <f>"41.00"</f>
        <v>41.00</v>
      </c>
      <c r="C1468" t="s">
        <v>1299</v>
      </c>
    </row>
    <row r="1469" spans="1:3" x14ac:dyDescent="0.25">
      <c r="A1469" t="str">
        <f t="shared" si="52"/>
        <v>41</v>
      </c>
      <c r="B1469" t="str">
        <f>"41.0000"</f>
        <v>41.0000</v>
      </c>
      <c r="C1469" t="s">
        <v>1299</v>
      </c>
    </row>
    <row r="1470" spans="1:3" x14ac:dyDescent="0.25">
      <c r="A1470" t="str">
        <f t="shared" si="52"/>
        <v>41</v>
      </c>
      <c r="B1470" t="str">
        <f>"41.01"</f>
        <v>41.01</v>
      </c>
      <c r="C1470" t="s">
        <v>1300</v>
      </c>
    </row>
    <row r="1471" spans="1:3" x14ac:dyDescent="0.25">
      <c r="A1471" t="str">
        <f t="shared" si="52"/>
        <v>41</v>
      </c>
      <c r="B1471" t="str">
        <f>"41.0101"</f>
        <v>41.0101</v>
      </c>
      <c r="C1471" t="s">
        <v>1301</v>
      </c>
    </row>
    <row r="1472" spans="1:3" x14ac:dyDescent="0.25">
      <c r="A1472" t="str">
        <f t="shared" si="52"/>
        <v>41</v>
      </c>
      <c r="B1472" t="str">
        <f>"41.02"</f>
        <v>41.02</v>
      </c>
      <c r="C1472" t="s">
        <v>1302</v>
      </c>
    </row>
    <row r="1473" spans="1:3" x14ac:dyDescent="0.25">
      <c r="A1473" t="str">
        <f t="shared" si="52"/>
        <v>41</v>
      </c>
      <c r="B1473" t="str">
        <f>"41.0204"</f>
        <v>41.0204</v>
      </c>
      <c r="C1473" t="s">
        <v>1303</v>
      </c>
    </row>
    <row r="1474" spans="1:3" x14ac:dyDescent="0.25">
      <c r="A1474" t="str">
        <f t="shared" si="52"/>
        <v>41</v>
      </c>
      <c r="B1474" t="str">
        <f>"41.0205"</f>
        <v>41.0205</v>
      </c>
      <c r="C1474" t="s">
        <v>1304</v>
      </c>
    </row>
    <row r="1475" spans="1:3" x14ac:dyDescent="0.25">
      <c r="A1475" t="str">
        <f t="shared" si="52"/>
        <v>41</v>
      </c>
      <c r="B1475" t="str">
        <f>"41.0299"</f>
        <v>41.0299</v>
      </c>
      <c r="C1475" t="s">
        <v>1305</v>
      </c>
    </row>
    <row r="1476" spans="1:3" x14ac:dyDescent="0.25">
      <c r="A1476" t="str">
        <f t="shared" si="52"/>
        <v>41</v>
      </c>
      <c r="B1476" t="str">
        <f>"41.03"</f>
        <v>41.03</v>
      </c>
      <c r="C1476" t="s">
        <v>1306</v>
      </c>
    </row>
    <row r="1477" spans="1:3" x14ac:dyDescent="0.25">
      <c r="A1477" t="str">
        <f t="shared" si="52"/>
        <v>41</v>
      </c>
      <c r="B1477" t="str">
        <f>"41.0301"</f>
        <v>41.0301</v>
      </c>
      <c r="C1477" t="s">
        <v>1307</v>
      </c>
    </row>
    <row r="1478" spans="1:3" x14ac:dyDescent="0.25">
      <c r="A1478" t="str">
        <f t="shared" si="52"/>
        <v>41</v>
      </c>
      <c r="B1478" t="str">
        <f>"41.0303"</f>
        <v>41.0303</v>
      </c>
      <c r="C1478" t="s">
        <v>1308</v>
      </c>
    </row>
    <row r="1479" spans="1:3" x14ac:dyDescent="0.25">
      <c r="A1479" t="str">
        <f t="shared" si="52"/>
        <v>41</v>
      </c>
      <c r="B1479" t="str">
        <f>"41.0399"</f>
        <v>41.0399</v>
      </c>
      <c r="C1479" t="s">
        <v>1309</v>
      </c>
    </row>
    <row r="1480" spans="1:3" x14ac:dyDescent="0.25">
      <c r="A1480" t="str">
        <f t="shared" si="52"/>
        <v>41</v>
      </c>
      <c r="B1480" t="str">
        <f>"41.99"</f>
        <v>41.99</v>
      </c>
      <c r="C1480" t="s">
        <v>1310</v>
      </c>
    </row>
    <row r="1481" spans="1:3" x14ac:dyDescent="0.25">
      <c r="A1481" t="str">
        <f t="shared" si="52"/>
        <v>41</v>
      </c>
      <c r="B1481" t="str">
        <f>"41.9999"</f>
        <v>41.9999</v>
      </c>
      <c r="C1481" t="s">
        <v>1310</v>
      </c>
    </row>
    <row r="1482" spans="1:3" x14ac:dyDescent="0.25">
      <c r="A1482" t="str">
        <f>"42"</f>
        <v>42</v>
      </c>
      <c r="B1482" t="str">
        <f>"42"</f>
        <v>42</v>
      </c>
      <c r="C1482" t="s">
        <v>1311</v>
      </c>
    </row>
    <row r="1483" spans="1:3" x14ac:dyDescent="0.25">
      <c r="A1483" t="str">
        <f t="shared" ref="A1483:A1517" si="53">"42"</f>
        <v>42</v>
      </c>
      <c r="B1483" t="str">
        <f>"42.01"</f>
        <v>42.01</v>
      </c>
      <c r="C1483" t="s">
        <v>1312</v>
      </c>
    </row>
    <row r="1484" spans="1:3" x14ac:dyDescent="0.25">
      <c r="A1484" t="str">
        <f t="shared" si="53"/>
        <v>42</v>
      </c>
      <c r="B1484" t="str">
        <f>"42.0101"</f>
        <v>42.0101</v>
      </c>
      <c r="C1484" t="s">
        <v>1312</v>
      </c>
    </row>
    <row r="1485" spans="1:3" x14ac:dyDescent="0.25">
      <c r="A1485" t="str">
        <f t="shared" si="53"/>
        <v>42</v>
      </c>
      <c r="B1485" t="str">
        <f>"42.27"</f>
        <v>42.27</v>
      </c>
      <c r="C1485" t="s">
        <v>1313</v>
      </c>
    </row>
    <row r="1486" spans="1:3" x14ac:dyDescent="0.25">
      <c r="A1486" t="str">
        <f t="shared" si="53"/>
        <v>42</v>
      </c>
      <c r="B1486" t="str">
        <f>"42.2701"</f>
        <v>42.2701</v>
      </c>
      <c r="C1486" t="s">
        <v>1314</v>
      </c>
    </row>
    <row r="1487" spans="1:3" x14ac:dyDescent="0.25">
      <c r="A1487" t="str">
        <f t="shared" si="53"/>
        <v>42</v>
      </c>
      <c r="B1487" t="str">
        <f>"42.2702"</f>
        <v>42.2702</v>
      </c>
      <c r="C1487" t="s">
        <v>1315</v>
      </c>
    </row>
    <row r="1488" spans="1:3" x14ac:dyDescent="0.25">
      <c r="A1488" t="str">
        <f t="shared" si="53"/>
        <v>42</v>
      </c>
      <c r="B1488" t="str">
        <f>"42.2703"</f>
        <v>42.2703</v>
      </c>
      <c r="C1488" t="s">
        <v>1316</v>
      </c>
    </row>
    <row r="1489" spans="1:3" x14ac:dyDescent="0.25">
      <c r="A1489" t="str">
        <f t="shared" si="53"/>
        <v>42</v>
      </c>
      <c r="B1489" t="str">
        <f>"42.2704"</f>
        <v>42.2704</v>
      </c>
      <c r="C1489" t="s">
        <v>1317</v>
      </c>
    </row>
    <row r="1490" spans="1:3" x14ac:dyDescent="0.25">
      <c r="A1490" t="str">
        <f t="shared" si="53"/>
        <v>42</v>
      </c>
      <c r="B1490" t="str">
        <f>"42.2705"</f>
        <v>42.2705</v>
      </c>
      <c r="C1490" t="s">
        <v>1318</v>
      </c>
    </row>
    <row r="1491" spans="1:3" x14ac:dyDescent="0.25">
      <c r="A1491" t="str">
        <f t="shared" si="53"/>
        <v>42</v>
      </c>
      <c r="B1491" t="str">
        <f>"42.2706"</f>
        <v>42.2706</v>
      </c>
      <c r="C1491" t="s">
        <v>1319</v>
      </c>
    </row>
    <row r="1492" spans="1:3" x14ac:dyDescent="0.25">
      <c r="A1492" t="str">
        <f t="shared" si="53"/>
        <v>42</v>
      </c>
      <c r="B1492" t="str">
        <f>"42.2707"</f>
        <v>42.2707</v>
      </c>
      <c r="C1492" t="s">
        <v>1320</v>
      </c>
    </row>
    <row r="1493" spans="1:3" x14ac:dyDescent="0.25">
      <c r="A1493" t="str">
        <f t="shared" si="53"/>
        <v>42</v>
      </c>
      <c r="B1493" t="str">
        <f>"42.2708"</f>
        <v>42.2708</v>
      </c>
      <c r="C1493" t="s">
        <v>1321</v>
      </c>
    </row>
    <row r="1494" spans="1:3" x14ac:dyDescent="0.25">
      <c r="A1494" t="str">
        <f t="shared" si="53"/>
        <v>42</v>
      </c>
      <c r="B1494" t="str">
        <f>"42.2709"</f>
        <v>42.2709</v>
      </c>
      <c r="C1494" t="s">
        <v>1322</v>
      </c>
    </row>
    <row r="1495" spans="1:3" x14ac:dyDescent="0.25">
      <c r="A1495" t="str">
        <f t="shared" si="53"/>
        <v>42</v>
      </c>
      <c r="B1495" t="str">
        <f>"42.2710"</f>
        <v>42.2710</v>
      </c>
      <c r="C1495" t="s">
        <v>1323</v>
      </c>
    </row>
    <row r="1496" spans="1:3" x14ac:dyDescent="0.25">
      <c r="A1496" t="str">
        <f t="shared" si="53"/>
        <v>42</v>
      </c>
      <c r="B1496" t="str">
        <f>"42.2799"</f>
        <v>42.2799</v>
      </c>
      <c r="C1496" t="s">
        <v>1324</v>
      </c>
    </row>
    <row r="1497" spans="1:3" x14ac:dyDescent="0.25">
      <c r="A1497" t="str">
        <f t="shared" si="53"/>
        <v>42</v>
      </c>
      <c r="B1497" t="str">
        <f>"42.28"</f>
        <v>42.28</v>
      </c>
      <c r="C1497" t="s">
        <v>1325</v>
      </c>
    </row>
    <row r="1498" spans="1:3" x14ac:dyDescent="0.25">
      <c r="A1498" t="str">
        <f t="shared" si="53"/>
        <v>42</v>
      </c>
      <c r="B1498" t="str">
        <f>"42.2801"</f>
        <v>42.2801</v>
      </c>
      <c r="C1498" t="s">
        <v>1326</v>
      </c>
    </row>
    <row r="1499" spans="1:3" x14ac:dyDescent="0.25">
      <c r="A1499" t="str">
        <f t="shared" si="53"/>
        <v>42</v>
      </c>
      <c r="B1499" t="str">
        <f>"42.2802"</f>
        <v>42.2802</v>
      </c>
      <c r="C1499" t="s">
        <v>1327</v>
      </c>
    </row>
    <row r="1500" spans="1:3" x14ac:dyDescent="0.25">
      <c r="A1500" t="str">
        <f t="shared" si="53"/>
        <v>42</v>
      </c>
      <c r="B1500" t="str">
        <f>"42.2803"</f>
        <v>42.2803</v>
      </c>
      <c r="C1500" t="s">
        <v>1328</v>
      </c>
    </row>
    <row r="1501" spans="1:3" x14ac:dyDescent="0.25">
      <c r="A1501" t="str">
        <f t="shared" si="53"/>
        <v>42</v>
      </c>
      <c r="B1501" t="str">
        <f>"42.2804"</f>
        <v>42.2804</v>
      </c>
      <c r="C1501" t="s">
        <v>1329</v>
      </c>
    </row>
    <row r="1502" spans="1:3" x14ac:dyDescent="0.25">
      <c r="A1502" t="str">
        <f t="shared" si="53"/>
        <v>42</v>
      </c>
      <c r="B1502" t="str">
        <f>"42.2805"</f>
        <v>42.2805</v>
      </c>
      <c r="C1502" t="s">
        <v>1330</v>
      </c>
    </row>
    <row r="1503" spans="1:3" x14ac:dyDescent="0.25">
      <c r="A1503" t="str">
        <f t="shared" si="53"/>
        <v>42</v>
      </c>
      <c r="B1503" t="str">
        <f>"42.2806"</f>
        <v>42.2806</v>
      </c>
      <c r="C1503" t="s">
        <v>1331</v>
      </c>
    </row>
    <row r="1504" spans="1:3" x14ac:dyDescent="0.25">
      <c r="A1504" t="str">
        <f t="shared" si="53"/>
        <v>42</v>
      </c>
      <c r="B1504" t="str">
        <f>"42.2807"</f>
        <v>42.2807</v>
      </c>
      <c r="C1504" t="s">
        <v>1332</v>
      </c>
    </row>
    <row r="1505" spans="1:3" x14ac:dyDescent="0.25">
      <c r="A1505" t="str">
        <f t="shared" si="53"/>
        <v>42</v>
      </c>
      <c r="B1505" t="str">
        <f>"42.2808"</f>
        <v>42.2808</v>
      </c>
      <c r="C1505" t="s">
        <v>1333</v>
      </c>
    </row>
    <row r="1506" spans="1:3" x14ac:dyDescent="0.25">
      <c r="A1506" t="str">
        <f t="shared" si="53"/>
        <v>42</v>
      </c>
      <c r="B1506" t="str">
        <f>"42.2809"</f>
        <v>42.2809</v>
      </c>
      <c r="C1506" t="s">
        <v>1334</v>
      </c>
    </row>
    <row r="1507" spans="1:3" x14ac:dyDescent="0.25">
      <c r="A1507" t="str">
        <f t="shared" si="53"/>
        <v>42</v>
      </c>
      <c r="B1507" t="str">
        <f>"42.2810"</f>
        <v>42.2810</v>
      </c>
      <c r="C1507" t="s">
        <v>1335</v>
      </c>
    </row>
    <row r="1508" spans="1:3" x14ac:dyDescent="0.25">
      <c r="A1508" t="str">
        <f t="shared" si="53"/>
        <v>42</v>
      </c>
      <c r="B1508" t="str">
        <f>"42.2811"</f>
        <v>42.2811</v>
      </c>
      <c r="C1508" t="s">
        <v>1336</v>
      </c>
    </row>
    <row r="1509" spans="1:3" x14ac:dyDescent="0.25">
      <c r="A1509" t="str">
        <f t="shared" si="53"/>
        <v>42</v>
      </c>
      <c r="B1509" t="str">
        <f>"42.2812"</f>
        <v>42.2812</v>
      </c>
      <c r="C1509" t="s">
        <v>1337</v>
      </c>
    </row>
    <row r="1510" spans="1:3" x14ac:dyDescent="0.25">
      <c r="A1510" t="str">
        <f t="shared" si="53"/>
        <v>42</v>
      </c>
      <c r="B1510" t="str">
        <f>"42.2813"</f>
        <v>42.2813</v>
      </c>
      <c r="C1510" t="s">
        <v>1338</v>
      </c>
    </row>
    <row r="1511" spans="1:3" x14ac:dyDescent="0.25">
      <c r="A1511" t="str">
        <f t="shared" si="53"/>
        <v>42</v>
      </c>
      <c r="B1511" t="str">
        <f>"42.2814"</f>
        <v>42.2814</v>
      </c>
      <c r="C1511" t="s">
        <v>1339</v>
      </c>
    </row>
    <row r="1512" spans="1:3" x14ac:dyDescent="0.25">
      <c r="A1512" t="str">
        <f t="shared" si="53"/>
        <v>42</v>
      </c>
      <c r="B1512" t="str">
        <f>"42.2815"</f>
        <v>42.2815</v>
      </c>
      <c r="C1512" t="s">
        <v>1340</v>
      </c>
    </row>
    <row r="1513" spans="1:3" x14ac:dyDescent="0.25">
      <c r="A1513" t="str">
        <f t="shared" si="53"/>
        <v>42</v>
      </c>
      <c r="B1513" t="str">
        <f>"42.2816"</f>
        <v>42.2816</v>
      </c>
      <c r="C1513" t="s">
        <v>1341</v>
      </c>
    </row>
    <row r="1514" spans="1:3" x14ac:dyDescent="0.25">
      <c r="A1514" t="str">
        <f t="shared" si="53"/>
        <v>42</v>
      </c>
      <c r="B1514" t="str">
        <f>"42.2817"</f>
        <v>42.2817</v>
      </c>
      <c r="C1514" t="s">
        <v>1342</v>
      </c>
    </row>
    <row r="1515" spans="1:3" x14ac:dyDescent="0.25">
      <c r="A1515" t="str">
        <f t="shared" si="53"/>
        <v>42</v>
      </c>
      <c r="B1515" t="str">
        <f>"42.2899"</f>
        <v>42.2899</v>
      </c>
      <c r="C1515" t="s">
        <v>1343</v>
      </c>
    </row>
    <row r="1516" spans="1:3" x14ac:dyDescent="0.25">
      <c r="A1516" t="str">
        <f t="shared" si="53"/>
        <v>42</v>
      </c>
      <c r="B1516" t="str">
        <f>"42.99"</f>
        <v>42.99</v>
      </c>
      <c r="C1516" t="s">
        <v>1344</v>
      </c>
    </row>
    <row r="1517" spans="1:3" x14ac:dyDescent="0.25">
      <c r="A1517" t="str">
        <f t="shared" si="53"/>
        <v>42</v>
      </c>
      <c r="B1517" t="str">
        <f>"42.9999"</f>
        <v>42.9999</v>
      </c>
      <c r="C1517" t="s">
        <v>1344</v>
      </c>
    </row>
    <row r="1518" spans="1:3" x14ac:dyDescent="0.25">
      <c r="A1518" t="str">
        <f>"43"</f>
        <v>43</v>
      </c>
      <c r="B1518" t="str">
        <f>"43"</f>
        <v>43</v>
      </c>
      <c r="C1518" t="s">
        <v>1345</v>
      </c>
    </row>
    <row r="1519" spans="1:3" x14ac:dyDescent="0.25">
      <c r="A1519" t="str">
        <f t="shared" ref="A1519:A1550" si="54">"43"</f>
        <v>43</v>
      </c>
      <c r="B1519" t="str">
        <f>"43.01"</f>
        <v>43.01</v>
      </c>
      <c r="C1519" t="s">
        <v>1346</v>
      </c>
    </row>
    <row r="1520" spans="1:3" x14ac:dyDescent="0.25">
      <c r="A1520" t="str">
        <f t="shared" si="54"/>
        <v>43</v>
      </c>
      <c r="B1520" t="str">
        <f>"43.0100"</f>
        <v>43.0100</v>
      </c>
      <c r="C1520" t="s">
        <v>1347</v>
      </c>
    </row>
    <row r="1521" spans="1:3" x14ac:dyDescent="0.25">
      <c r="A1521" t="str">
        <f t="shared" si="54"/>
        <v>43</v>
      </c>
      <c r="B1521" t="str">
        <f>"43.0102"</f>
        <v>43.0102</v>
      </c>
      <c r="C1521" t="s">
        <v>1348</v>
      </c>
    </row>
    <row r="1522" spans="1:3" x14ac:dyDescent="0.25">
      <c r="A1522" t="str">
        <f t="shared" si="54"/>
        <v>43</v>
      </c>
      <c r="B1522" t="str">
        <f>"43.0103"</f>
        <v>43.0103</v>
      </c>
      <c r="C1522" t="s">
        <v>1349</v>
      </c>
    </row>
    <row r="1523" spans="1:3" x14ac:dyDescent="0.25">
      <c r="A1523" t="str">
        <f t="shared" si="54"/>
        <v>43</v>
      </c>
      <c r="B1523" t="str">
        <f>"43.0104"</f>
        <v>43.0104</v>
      </c>
      <c r="C1523" t="s">
        <v>1350</v>
      </c>
    </row>
    <row r="1524" spans="1:3" x14ac:dyDescent="0.25">
      <c r="A1524" t="str">
        <f t="shared" si="54"/>
        <v>43</v>
      </c>
      <c r="B1524" t="str">
        <f>"43.0106"</f>
        <v>43.0106</v>
      </c>
      <c r="C1524" t="s">
        <v>1351</v>
      </c>
    </row>
    <row r="1525" spans="1:3" x14ac:dyDescent="0.25">
      <c r="A1525" t="str">
        <f t="shared" si="54"/>
        <v>43</v>
      </c>
      <c r="B1525" t="str">
        <f>"43.0107"</f>
        <v>43.0107</v>
      </c>
      <c r="C1525" t="s">
        <v>1352</v>
      </c>
    </row>
    <row r="1526" spans="1:3" x14ac:dyDescent="0.25">
      <c r="A1526" t="str">
        <f t="shared" si="54"/>
        <v>43</v>
      </c>
      <c r="B1526" t="str">
        <f>"43.0109"</f>
        <v>43.0109</v>
      </c>
      <c r="C1526" t="s">
        <v>1353</v>
      </c>
    </row>
    <row r="1527" spans="1:3" x14ac:dyDescent="0.25">
      <c r="A1527" t="str">
        <f t="shared" si="54"/>
        <v>43</v>
      </c>
      <c r="B1527" t="str">
        <f>"43.0110"</f>
        <v>43.0110</v>
      </c>
      <c r="C1527" t="s">
        <v>1354</v>
      </c>
    </row>
    <row r="1528" spans="1:3" x14ac:dyDescent="0.25">
      <c r="A1528" t="str">
        <f t="shared" si="54"/>
        <v>43</v>
      </c>
      <c r="B1528" t="str">
        <f>"43.0111"</f>
        <v>43.0111</v>
      </c>
      <c r="C1528" t="s">
        <v>1355</v>
      </c>
    </row>
    <row r="1529" spans="1:3" x14ac:dyDescent="0.25">
      <c r="A1529" t="str">
        <f t="shared" si="54"/>
        <v>43</v>
      </c>
      <c r="B1529" t="str">
        <f>"43.0112"</f>
        <v>43.0112</v>
      </c>
      <c r="C1529" t="s">
        <v>1356</v>
      </c>
    </row>
    <row r="1530" spans="1:3" x14ac:dyDescent="0.25">
      <c r="A1530" t="str">
        <f t="shared" si="54"/>
        <v>43</v>
      </c>
      <c r="B1530" t="str">
        <f>"43.0113"</f>
        <v>43.0113</v>
      </c>
      <c r="C1530" t="s">
        <v>1357</v>
      </c>
    </row>
    <row r="1531" spans="1:3" x14ac:dyDescent="0.25">
      <c r="A1531" t="str">
        <f t="shared" si="54"/>
        <v>43</v>
      </c>
      <c r="B1531" t="str">
        <f>"43.0114"</f>
        <v>43.0114</v>
      </c>
      <c r="C1531" t="s">
        <v>1358</v>
      </c>
    </row>
    <row r="1532" spans="1:3" x14ac:dyDescent="0.25">
      <c r="A1532" t="str">
        <f t="shared" si="54"/>
        <v>43</v>
      </c>
      <c r="B1532" t="str">
        <f>"43.0115"</f>
        <v>43.0115</v>
      </c>
      <c r="C1532" t="s">
        <v>1359</v>
      </c>
    </row>
    <row r="1533" spans="1:3" x14ac:dyDescent="0.25">
      <c r="A1533" t="str">
        <f t="shared" si="54"/>
        <v>43</v>
      </c>
      <c r="B1533" t="str">
        <f>"43.0116"</f>
        <v>43.0116</v>
      </c>
      <c r="C1533" t="s">
        <v>1360</v>
      </c>
    </row>
    <row r="1534" spans="1:3" x14ac:dyDescent="0.25">
      <c r="A1534" t="str">
        <f t="shared" si="54"/>
        <v>43</v>
      </c>
      <c r="B1534" t="str">
        <f>"43.0117"</f>
        <v>43.0117</v>
      </c>
      <c r="C1534" t="s">
        <v>1361</v>
      </c>
    </row>
    <row r="1535" spans="1:3" x14ac:dyDescent="0.25">
      <c r="A1535" t="str">
        <f t="shared" si="54"/>
        <v>43</v>
      </c>
      <c r="B1535" t="str">
        <f>"43.0118"</f>
        <v>43.0118</v>
      </c>
      <c r="C1535" t="s">
        <v>1362</v>
      </c>
    </row>
    <row r="1536" spans="1:3" x14ac:dyDescent="0.25">
      <c r="A1536" t="str">
        <f t="shared" si="54"/>
        <v>43</v>
      </c>
      <c r="B1536" t="str">
        <f>"43.0119"</f>
        <v>43.0119</v>
      </c>
      <c r="C1536" t="s">
        <v>1363</v>
      </c>
    </row>
    <row r="1537" spans="1:3" x14ac:dyDescent="0.25">
      <c r="A1537" t="str">
        <f t="shared" si="54"/>
        <v>43</v>
      </c>
      <c r="B1537" t="str">
        <f>"43.0120"</f>
        <v>43.0120</v>
      </c>
      <c r="C1537" t="s">
        <v>1364</v>
      </c>
    </row>
    <row r="1538" spans="1:3" x14ac:dyDescent="0.25">
      <c r="A1538" t="str">
        <f t="shared" si="54"/>
        <v>43</v>
      </c>
      <c r="B1538" t="str">
        <f>"43.0121"</f>
        <v>43.0121</v>
      </c>
      <c r="C1538" t="s">
        <v>1365</v>
      </c>
    </row>
    <row r="1539" spans="1:3" x14ac:dyDescent="0.25">
      <c r="A1539" t="str">
        <f t="shared" si="54"/>
        <v>43</v>
      </c>
      <c r="B1539" t="str">
        <f>"43.0122"</f>
        <v>43.0122</v>
      </c>
      <c r="C1539" t="s">
        <v>1366</v>
      </c>
    </row>
    <row r="1540" spans="1:3" x14ac:dyDescent="0.25">
      <c r="A1540" t="str">
        <f t="shared" si="54"/>
        <v>43</v>
      </c>
      <c r="B1540" t="str">
        <f>"43.0123"</f>
        <v>43.0123</v>
      </c>
      <c r="C1540" t="s">
        <v>1367</v>
      </c>
    </row>
    <row r="1541" spans="1:3" x14ac:dyDescent="0.25">
      <c r="A1541" t="str">
        <f t="shared" si="54"/>
        <v>43</v>
      </c>
      <c r="B1541" t="str">
        <f>"43.0199"</f>
        <v>43.0199</v>
      </c>
      <c r="C1541" t="s">
        <v>1368</v>
      </c>
    </row>
    <row r="1542" spans="1:3" x14ac:dyDescent="0.25">
      <c r="A1542" t="str">
        <f t="shared" si="54"/>
        <v>43</v>
      </c>
      <c r="B1542" t="str">
        <f>"43.02"</f>
        <v>43.02</v>
      </c>
      <c r="C1542" t="s">
        <v>1369</v>
      </c>
    </row>
    <row r="1543" spans="1:3" x14ac:dyDescent="0.25">
      <c r="A1543" t="str">
        <f t="shared" si="54"/>
        <v>43</v>
      </c>
      <c r="B1543" t="str">
        <f>"43.0201"</f>
        <v>43.0201</v>
      </c>
      <c r="C1543" t="s">
        <v>1370</v>
      </c>
    </row>
    <row r="1544" spans="1:3" x14ac:dyDescent="0.25">
      <c r="A1544" t="str">
        <f t="shared" si="54"/>
        <v>43</v>
      </c>
      <c r="B1544" t="str">
        <f>"43.0202"</f>
        <v>43.0202</v>
      </c>
      <c r="C1544" t="s">
        <v>1371</v>
      </c>
    </row>
    <row r="1545" spans="1:3" x14ac:dyDescent="0.25">
      <c r="A1545" t="str">
        <f t="shared" si="54"/>
        <v>43</v>
      </c>
      <c r="B1545" t="str">
        <f>"43.0203"</f>
        <v>43.0203</v>
      </c>
      <c r="C1545" t="s">
        <v>1372</v>
      </c>
    </row>
    <row r="1546" spans="1:3" x14ac:dyDescent="0.25">
      <c r="A1546" t="str">
        <f t="shared" si="54"/>
        <v>43</v>
      </c>
      <c r="B1546" t="str">
        <f>"43.0204"</f>
        <v>43.0204</v>
      </c>
      <c r="C1546" t="s">
        <v>1373</v>
      </c>
    </row>
    <row r="1547" spans="1:3" x14ac:dyDescent="0.25">
      <c r="A1547" t="str">
        <f t="shared" si="54"/>
        <v>43</v>
      </c>
      <c r="B1547" t="str">
        <f>"43.0205"</f>
        <v>43.0205</v>
      </c>
      <c r="C1547" t="s">
        <v>1374</v>
      </c>
    </row>
    <row r="1548" spans="1:3" x14ac:dyDescent="0.25">
      <c r="A1548" t="str">
        <f t="shared" si="54"/>
        <v>43</v>
      </c>
      <c r="B1548" t="str">
        <f>"43.0206"</f>
        <v>43.0206</v>
      </c>
      <c r="C1548" t="s">
        <v>1375</v>
      </c>
    </row>
    <row r="1549" spans="1:3" x14ac:dyDescent="0.25">
      <c r="A1549" t="str">
        <f t="shared" si="54"/>
        <v>43</v>
      </c>
      <c r="B1549" t="str">
        <f>"43.0299"</f>
        <v>43.0299</v>
      </c>
      <c r="C1549" t="s">
        <v>1376</v>
      </c>
    </row>
    <row r="1550" spans="1:3" x14ac:dyDescent="0.25">
      <c r="A1550" t="str">
        <f t="shared" si="54"/>
        <v>43</v>
      </c>
      <c r="B1550" t="str">
        <f>"43.03"</f>
        <v>43.03</v>
      </c>
      <c r="C1550" t="s">
        <v>1377</v>
      </c>
    </row>
    <row r="1551" spans="1:3" x14ac:dyDescent="0.25">
      <c r="A1551" t="str">
        <f t="shared" ref="A1551:A1567" si="55">"43"</f>
        <v>43</v>
      </c>
      <c r="B1551" t="str">
        <f>"43.0301"</f>
        <v>43.0301</v>
      </c>
      <c r="C1551" t="s">
        <v>1377</v>
      </c>
    </row>
    <row r="1552" spans="1:3" x14ac:dyDescent="0.25">
      <c r="A1552" t="str">
        <f t="shared" si="55"/>
        <v>43</v>
      </c>
      <c r="B1552" t="str">
        <f>"43.0302"</f>
        <v>43.0302</v>
      </c>
      <c r="C1552" t="s">
        <v>1378</v>
      </c>
    </row>
    <row r="1553" spans="1:3" x14ac:dyDescent="0.25">
      <c r="A1553" t="str">
        <f t="shared" si="55"/>
        <v>43</v>
      </c>
      <c r="B1553" t="str">
        <f>"43.0303"</f>
        <v>43.0303</v>
      </c>
      <c r="C1553" t="s">
        <v>1379</v>
      </c>
    </row>
    <row r="1554" spans="1:3" x14ac:dyDescent="0.25">
      <c r="A1554" t="str">
        <f t="shared" si="55"/>
        <v>43</v>
      </c>
      <c r="B1554" t="str">
        <f>"43.0304"</f>
        <v>43.0304</v>
      </c>
      <c r="C1554" t="s">
        <v>1380</v>
      </c>
    </row>
    <row r="1555" spans="1:3" x14ac:dyDescent="0.25">
      <c r="A1555" t="str">
        <f t="shared" si="55"/>
        <v>43</v>
      </c>
      <c r="B1555" t="str">
        <f>"43.0399"</f>
        <v>43.0399</v>
      </c>
      <c r="C1555" t="s">
        <v>1381</v>
      </c>
    </row>
    <row r="1556" spans="1:3" x14ac:dyDescent="0.25">
      <c r="A1556" t="str">
        <f t="shared" si="55"/>
        <v>43</v>
      </c>
      <c r="B1556" t="str">
        <f>"43.04"</f>
        <v>43.04</v>
      </c>
      <c r="C1556" t="s">
        <v>1382</v>
      </c>
    </row>
    <row r="1557" spans="1:3" x14ac:dyDescent="0.25">
      <c r="A1557" t="str">
        <f t="shared" si="55"/>
        <v>43</v>
      </c>
      <c r="B1557" t="str">
        <f>"43.0401"</f>
        <v>43.0401</v>
      </c>
      <c r="C1557" t="s">
        <v>1383</v>
      </c>
    </row>
    <row r="1558" spans="1:3" x14ac:dyDescent="0.25">
      <c r="A1558" t="str">
        <f t="shared" si="55"/>
        <v>43</v>
      </c>
      <c r="B1558" t="str">
        <f>"43.0402"</f>
        <v>43.0402</v>
      </c>
      <c r="C1558" t="s">
        <v>1355</v>
      </c>
    </row>
    <row r="1559" spans="1:3" x14ac:dyDescent="0.25">
      <c r="A1559" t="str">
        <f t="shared" si="55"/>
        <v>43</v>
      </c>
      <c r="B1559" t="str">
        <f>"43.0403"</f>
        <v>43.0403</v>
      </c>
      <c r="C1559" t="s">
        <v>1360</v>
      </c>
    </row>
    <row r="1560" spans="1:3" x14ac:dyDescent="0.25">
      <c r="A1560" t="str">
        <f t="shared" si="55"/>
        <v>43</v>
      </c>
      <c r="B1560" t="str">
        <f>"43.0404"</f>
        <v>43.0404</v>
      </c>
      <c r="C1560" t="s">
        <v>1384</v>
      </c>
    </row>
    <row r="1561" spans="1:3" x14ac:dyDescent="0.25">
      <c r="A1561" t="str">
        <f t="shared" si="55"/>
        <v>43</v>
      </c>
      <c r="B1561" t="str">
        <f>"43.0405"</f>
        <v>43.0405</v>
      </c>
      <c r="C1561" t="s">
        <v>1361</v>
      </c>
    </row>
    <row r="1562" spans="1:3" x14ac:dyDescent="0.25">
      <c r="A1562" t="str">
        <f t="shared" si="55"/>
        <v>43</v>
      </c>
      <c r="B1562" t="str">
        <f>"43.0406"</f>
        <v>43.0406</v>
      </c>
      <c r="C1562" t="s">
        <v>1351</v>
      </c>
    </row>
    <row r="1563" spans="1:3" x14ac:dyDescent="0.25">
      <c r="A1563" t="str">
        <f t="shared" si="55"/>
        <v>43</v>
      </c>
      <c r="B1563" t="str">
        <f>"43.0407"</f>
        <v>43.0407</v>
      </c>
      <c r="C1563" t="s">
        <v>1385</v>
      </c>
    </row>
    <row r="1564" spans="1:3" x14ac:dyDescent="0.25">
      <c r="A1564" t="str">
        <f t="shared" si="55"/>
        <v>43</v>
      </c>
      <c r="B1564" t="str">
        <f>"43.0408"</f>
        <v>43.0408</v>
      </c>
      <c r="C1564" t="s">
        <v>1362</v>
      </c>
    </row>
    <row r="1565" spans="1:3" x14ac:dyDescent="0.25">
      <c r="A1565" t="str">
        <f t="shared" si="55"/>
        <v>43</v>
      </c>
      <c r="B1565" t="str">
        <f>"43.0499"</f>
        <v>43.0499</v>
      </c>
      <c r="C1565" t="s">
        <v>1386</v>
      </c>
    </row>
    <row r="1566" spans="1:3" x14ac:dyDescent="0.25">
      <c r="A1566" t="str">
        <f t="shared" si="55"/>
        <v>43</v>
      </c>
      <c r="B1566" t="str">
        <f>"43.99"</f>
        <v>43.99</v>
      </c>
      <c r="C1566" t="s">
        <v>1387</v>
      </c>
    </row>
    <row r="1567" spans="1:3" x14ac:dyDescent="0.25">
      <c r="A1567" t="str">
        <f t="shared" si="55"/>
        <v>43</v>
      </c>
      <c r="B1567" t="str">
        <f>"43.9999"</f>
        <v>43.9999</v>
      </c>
      <c r="C1567" t="s">
        <v>1387</v>
      </c>
    </row>
    <row r="1568" spans="1:3" x14ac:dyDescent="0.25">
      <c r="A1568" t="str">
        <f>"44"</f>
        <v>44</v>
      </c>
      <c r="B1568" t="str">
        <f>"44"</f>
        <v>44</v>
      </c>
      <c r="C1568" t="s">
        <v>1388</v>
      </c>
    </row>
    <row r="1569" spans="1:3" x14ac:dyDescent="0.25">
      <c r="A1569" t="str">
        <f t="shared" ref="A1569:A1591" si="56">"44"</f>
        <v>44</v>
      </c>
      <c r="B1569" t="str">
        <f>"44.00"</f>
        <v>44.00</v>
      </c>
      <c r="C1569" t="s">
        <v>1389</v>
      </c>
    </row>
    <row r="1570" spans="1:3" x14ac:dyDescent="0.25">
      <c r="A1570" t="str">
        <f t="shared" si="56"/>
        <v>44</v>
      </c>
      <c r="B1570" t="str">
        <f>"44.0000"</f>
        <v>44.0000</v>
      </c>
      <c r="C1570" t="s">
        <v>1389</v>
      </c>
    </row>
    <row r="1571" spans="1:3" x14ac:dyDescent="0.25">
      <c r="A1571" t="str">
        <f t="shared" si="56"/>
        <v>44</v>
      </c>
      <c r="B1571" t="str">
        <f>"44.02"</f>
        <v>44.02</v>
      </c>
      <c r="C1571" t="s">
        <v>1390</v>
      </c>
    </row>
    <row r="1572" spans="1:3" x14ac:dyDescent="0.25">
      <c r="A1572" t="str">
        <f t="shared" si="56"/>
        <v>44</v>
      </c>
      <c r="B1572" t="str">
        <f>"44.0201"</f>
        <v>44.0201</v>
      </c>
      <c r="C1572" t="s">
        <v>1390</v>
      </c>
    </row>
    <row r="1573" spans="1:3" x14ac:dyDescent="0.25">
      <c r="A1573" t="str">
        <f t="shared" si="56"/>
        <v>44</v>
      </c>
      <c r="B1573" t="str">
        <f>"44.04"</f>
        <v>44.04</v>
      </c>
      <c r="C1573" t="s">
        <v>1391</v>
      </c>
    </row>
    <row r="1574" spans="1:3" x14ac:dyDescent="0.25">
      <c r="A1574" t="str">
        <f t="shared" si="56"/>
        <v>44</v>
      </c>
      <c r="B1574" t="str">
        <f>"44.0401"</f>
        <v>44.0401</v>
      </c>
      <c r="C1574" t="s">
        <v>1391</v>
      </c>
    </row>
    <row r="1575" spans="1:3" x14ac:dyDescent="0.25">
      <c r="A1575" t="str">
        <f t="shared" si="56"/>
        <v>44</v>
      </c>
      <c r="B1575" t="str">
        <f>"44.0402"</f>
        <v>44.0402</v>
      </c>
      <c r="C1575" t="s">
        <v>1392</v>
      </c>
    </row>
    <row r="1576" spans="1:3" x14ac:dyDescent="0.25">
      <c r="A1576" t="str">
        <f t="shared" si="56"/>
        <v>44</v>
      </c>
      <c r="B1576" t="str">
        <f>"44.0403"</f>
        <v>44.0403</v>
      </c>
      <c r="C1576" t="s">
        <v>1393</v>
      </c>
    </row>
    <row r="1577" spans="1:3" x14ac:dyDescent="0.25">
      <c r="A1577" t="str">
        <f t="shared" si="56"/>
        <v>44</v>
      </c>
      <c r="B1577" t="str">
        <f>"44.0499"</f>
        <v>44.0499</v>
      </c>
      <c r="C1577" t="s">
        <v>1394</v>
      </c>
    </row>
    <row r="1578" spans="1:3" x14ac:dyDescent="0.25">
      <c r="A1578" t="str">
        <f t="shared" si="56"/>
        <v>44</v>
      </c>
      <c r="B1578" t="str">
        <f>"44.05"</f>
        <v>44.05</v>
      </c>
      <c r="C1578" t="s">
        <v>1395</v>
      </c>
    </row>
    <row r="1579" spans="1:3" x14ac:dyDescent="0.25">
      <c r="A1579" t="str">
        <f t="shared" si="56"/>
        <v>44</v>
      </c>
      <c r="B1579" t="str">
        <f>"44.0501"</f>
        <v>44.0501</v>
      </c>
      <c r="C1579" t="s">
        <v>1396</v>
      </c>
    </row>
    <row r="1580" spans="1:3" x14ac:dyDescent="0.25">
      <c r="A1580" t="str">
        <f t="shared" si="56"/>
        <v>44</v>
      </c>
      <c r="B1580" t="str">
        <f>"44.0502"</f>
        <v>44.0502</v>
      </c>
      <c r="C1580" t="s">
        <v>1397</v>
      </c>
    </row>
    <row r="1581" spans="1:3" x14ac:dyDescent="0.25">
      <c r="A1581" t="str">
        <f t="shared" si="56"/>
        <v>44</v>
      </c>
      <c r="B1581" t="str">
        <f>"44.0503"</f>
        <v>44.0503</v>
      </c>
      <c r="C1581" t="s">
        <v>1398</v>
      </c>
    </row>
    <row r="1582" spans="1:3" x14ac:dyDescent="0.25">
      <c r="A1582" t="str">
        <f t="shared" si="56"/>
        <v>44</v>
      </c>
      <c r="B1582" t="str">
        <f>"44.0504"</f>
        <v>44.0504</v>
      </c>
      <c r="C1582" t="s">
        <v>1399</v>
      </c>
    </row>
    <row r="1583" spans="1:3" x14ac:dyDescent="0.25">
      <c r="A1583" t="str">
        <f t="shared" si="56"/>
        <v>44</v>
      </c>
      <c r="B1583" t="str">
        <f>"44.0580"</f>
        <v>44.0580</v>
      </c>
      <c r="C1583" t="s">
        <v>31</v>
      </c>
    </row>
    <row r="1584" spans="1:3" x14ac:dyDescent="0.25">
      <c r="A1584" t="str">
        <f t="shared" si="56"/>
        <v>44</v>
      </c>
      <c r="B1584" t="str">
        <f>"44.0599"</f>
        <v>44.0599</v>
      </c>
      <c r="C1584" t="s">
        <v>1400</v>
      </c>
    </row>
    <row r="1585" spans="1:3" x14ac:dyDescent="0.25">
      <c r="A1585" t="str">
        <f t="shared" si="56"/>
        <v>44</v>
      </c>
      <c r="B1585" t="str">
        <f>"44.07"</f>
        <v>44.07</v>
      </c>
      <c r="C1585" t="s">
        <v>1401</v>
      </c>
    </row>
    <row r="1586" spans="1:3" x14ac:dyDescent="0.25">
      <c r="A1586" t="str">
        <f t="shared" si="56"/>
        <v>44</v>
      </c>
      <c r="B1586" t="str">
        <f>"44.0701"</f>
        <v>44.0701</v>
      </c>
      <c r="C1586" t="s">
        <v>1401</v>
      </c>
    </row>
    <row r="1587" spans="1:3" x14ac:dyDescent="0.25">
      <c r="A1587" t="str">
        <f t="shared" si="56"/>
        <v>44</v>
      </c>
      <c r="B1587" t="str">
        <f>"44.0702"</f>
        <v>44.0702</v>
      </c>
      <c r="C1587" t="s">
        <v>1402</v>
      </c>
    </row>
    <row r="1588" spans="1:3" x14ac:dyDescent="0.25">
      <c r="A1588" t="str">
        <f t="shared" si="56"/>
        <v>44</v>
      </c>
      <c r="B1588" t="str">
        <f>"44.0703"</f>
        <v>44.0703</v>
      </c>
      <c r="C1588" t="s">
        <v>1403</v>
      </c>
    </row>
    <row r="1589" spans="1:3" x14ac:dyDescent="0.25">
      <c r="A1589" t="str">
        <f t="shared" si="56"/>
        <v>44</v>
      </c>
      <c r="B1589" t="str">
        <f>"44.0799"</f>
        <v>44.0799</v>
      </c>
      <c r="C1589" t="s">
        <v>1404</v>
      </c>
    </row>
    <row r="1590" spans="1:3" x14ac:dyDescent="0.25">
      <c r="A1590" t="str">
        <f t="shared" si="56"/>
        <v>44</v>
      </c>
      <c r="B1590" t="str">
        <f>"44.99"</f>
        <v>44.99</v>
      </c>
      <c r="C1590" t="s">
        <v>1405</v>
      </c>
    </row>
    <row r="1591" spans="1:3" x14ac:dyDescent="0.25">
      <c r="A1591" t="str">
        <f t="shared" si="56"/>
        <v>44</v>
      </c>
      <c r="B1591" t="str">
        <f>"44.9999"</f>
        <v>44.9999</v>
      </c>
      <c r="C1591" t="s">
        <v>1405</v>
      </c>
    </row>
    <row r="1592" spans="1:3" x14ac:dyDescent="0.25">
      <c r="A1592" t="str">
        <f>"45"</f>
        <v>45</v>
      </c>
      <c r="B1592" t="str">
        <f>"45"</f>
        <v>45</v>
      </c>
      <c r="C1592" t="s">
        <v>1406</v>
      </c>
    </row>
    <row r="1593" spans="1:3" x14ac:dyDescent="0.25">
      <c r="A1593" t="str">
        <f t="shared" ref="A1593:A1624" si="57">"45"</f>
        <v>45</v>
      </c>
      <c r="B1593" t="str">
        <f>"45.01"</f>
        <v>45.01</v>
      </c>
      <c r="C1593" t="s">
        <v>1407</v>
      </c>
    </row>
    <row r="1594" spans="1:3" x14ac:dyDescent="0.25">
      <c r="A1594" t="str">
        <f t="shared" si="57"/>
        <v>45</v>
      </c>
      <c r="B1594" t="str">
        <f>"45.0101"</f>
        <v>45.0101</v>
      </c>
      <c r="C1594" t="s">
        <v>1407</v>
      </c>
    </row>
    <row r="1595" spans="1:3" x14ac:dyDescent="0.25">
      <c r="A1595" t="str">
        <f t="shared" si="57"/>
        <v>45</v>
      </c>
      <c r="B1595" t="str">
        <f>"45.0102"</f>
        <v>45.0102</v>
      </c>
      <c r="C1595" t="s">
        <v>1408</v>
      </c>
    </row>
    <row r="1596" spans="1:3" x14ac:dyDescent="0.25">
      <c r="A1596" t="str">
        <f t="shared" si="57"/>
        <v>45</v>
      </c>
      <c r="B1596" t="str">
        <f>"45.0103"</f>
        <v>45.0103</v>
      </c>
      <c r="C1596" t="s">
        <v>1409</v>
      </c>
    </row>
    <row r="1597" spans="1:3" x14ac:dyDescent="0.25">
      <c r="A1597" t="str">
        <f t="shared" si="57"/>
        <v>45</v>
      </c>
      <c r="B1597" t="str">
        <f>"45.0199"</f>
        <v>45.0199</v>
      </c>
      <c r="C1597" t="s">
        <v>1410</v>
      </c>
    </row>
    <row r="1598" spans="1:3" x14ac:dyDescent="0.25">
      <c r="A1598" t="str">
        <f t="shared" si="57"/>
        <v>45</v>
      </c>
      <c r="B1598" t="str">
        <f>"45.02"</f>
        <v>45.02</v>
      </c>
      <c r="C1598" t="s">
        <v>1411</v>
      </c>
    </row>
    <row r="1599" spans="1:3" x14ac:dyDescent="0.25">
      <c r="A1599" t="str">
        <f t="shared" si="57"/>
        <v>45</v>
      </c>
      <c r="B1599" t="str">
        <f>"45.0201"</f>
        <v>45.0201</v>
      </c>
      <c r="C1599" t="s">
        <v>1412</v>
      </c>
    </row>
    <row r="1600" spans="1:3" x14ac:dyDescent="0.25">
      <c r="A1600" t="str">
        <f t="shared" si="57"/>
        <v>45</v>
      </c>
      <c r="B1600" t="str">
        <f>"45.0202"</f>
        <v>45.0202</v>
      </c>
      <c r="C1600" t="s">
        <v>1413</v>
      </c>
    </row>
    <row r="1601" spans="1:3" x14ac:dyDescent="0.25">
      <c r="A1601" t="str">
        <f t="shared" si="57"/>
        <v>45</v>
      </c>
      <c r="B1601" t="str">
        <f>"45.0203"</f>
        <v>45.0203</v>
      </c>
      <c r="C1601" t="s">
        <v>1414</v>
      </c>
    </row>
    <row r="1602" spans="1:3" x14ac:dyDescent="0.25">
      <c r="A1602" t="str">
        <f t="shared" si="57"/>
        <v>45</v>
      </c>
      <c r="B1602" t="str">
        <f>"45.0204"</f>
        <v>45.0204</v>
      </c>
      <c r="C1602" t="s">
        <v>1415</v>
      </c>
    </row>
    <row r="1603" spans="1:3" x14ac:dyDescent="0.25">
      <c r="A1603" t="str">
        <f t="shared" si="57"/>
        <v>45</v>
      </c>
      <c r="B1603" t="str">
        <f>"45.0205"</f>
        <v>45.0205</v>
      </c>
      <c r="C1603" t="s">
        <v>1416</v>
      </c>
    </row>
    <row r="1604" spans="1:3" x14ac:dyDescent="0.25">
      <c r="A1604" t="str">
        <f t="shared" si="57"/>
        <v>45</v>
      </c>
      <c r="B1604" t="str">
        <f>"45.0299"</f>
        <v>45.0299</v>
      </c>
      <c r="C1604" t="s">
        <v>1417</v>
      </c>
    </row>
    <row r="1605" spans="1:3" x14ac:dyDescent="0.25">
      <c r="A1605" t="str">
        <f t="shared" si="57"/>
        <v>45</v>
      </c>
      <c r="B1605" t="str">
        <f>"45.03"</f>
        <v>45.03</v>
      </c>
      <c r="C1605" t="s">
        <v>1418</v>
      </c>
    </row>
    <row r="1606" spans="1:3" x14ac:dyDescent="0.25">
      <c r="A1606" t="str">
        <f t="shared" si="57"/>
        <v>45</v>
      </c>
      <c r="B1606" t="str">
        <f>"45.0301"</f>
        <v>45.0301</v>
      </c>
      <c r="C1606" t="s">
        <v>1418</v>
      </c>
    </row>
    <row r="1607" spans="1:3" x14ac:dyDescent="0.25">
      <c r="A1607" t="str">
        <f t="shared" si="57"/>
        <v>45</v>
      </c>
      <c r="B1607" t="str">
        <f>"45.04"</f>
        <v>45.04</v>
      </c>
      <c r="C1607" t="s">
        <v>1419</v>
      </c>
    </row>
    <row r="1608" spans="1:3" x14ac:dyDescent="0.25">
      <c r="A1608" t="str">
        <f t="shared" si="57"/>
        <v>45</v>
      </c>
      <c r="B1608" t="str">
        <f>"45.0401"</f>
        <v>45.0401</v>
      </c>
      <c r="C1608" t="s">
        <v>1419</v>
      </c>
    </row>
    <row r="1609" spans="1:3" x14ac:dyDescent="0.25">
      <c r="A1609" t="str">
        <f t="shared" si="57"/>
        <v>45</v>
      </c>
      <c r="B1609" t="str">
        <f>"45.05"</f>
        <v>45.05</v>
      </c>
      <c r="C1609" t="s">
        <v>1420</v>
      </c>
    </row>
    <row r="1610" spans="1:3" x14ac:dyDescent="0.25">
      <c r="A1610" t="str">
        <f t="shared" si="57"/>
        <v>45</v>
      </c>
      <c r="B1610" t="str">
        <f>"45.0501"</f>
        <v>45.0501</v>
      </c>
      <c r="C1610" t="s">
        <v>1421</v>
      </c>
    </row>
    <row r="1611" spans="1:3" x14ac:dyDescent="0.25">
      <c r="A1611" t="str">
        <f t="shared" si="57"/>
        <v>45</v>
      </c>
      <c r="B1611" t="str">
        <f>"45.0502"</f>
        <v>45.0502</v>
      </c>
      <c r="C1611" t="s">
        <v>1422</v>
      </c>
    </row>
    <row r="1612" spans="1:3" x14ac:dyDescent="0.25">
      <c r="A1612" t="str">
        <f t="shared" si="57"/>
        <v>45</v>
      </c>
      <c r="B1612" t="str">
        <f>"45.0599"</f>
        <v>45.0599</v>
      </c>
      <c r="C1612" t="s">
        <v>1423</v>
      </c>
    </row>
    <row r="1613" spans="1:3" x14ac:dyDescent="0.25">
      <c r="A1613" t="str">
        <f t="shared" si="57"/>
        <v>45</v>
      </c>
      <c r="B1613" t="str">
        <f>"45.06"</f>
        <v>45.06</v>
      </c>
      <c r="C1613" t="s">
        <v>1424</v>
      </c>
    </row>
    <row r="1614" spans="1:3" x14ac:dyDescent="0.25">
      <c r="A1614" t="str">
        <f t="shared" si="57"/>
        <v>45</v>
      </c>
      <c r="B1614" t="str">
        <f>"45.0601"</f>
        <v>45.0601</v>
      </c>
      <c r="C1614" t="s">
        <v>1425</v>
      </c>
    </row>
    <row r="1615" spans="1:3" x14ac:dyDescent="0.25">
      <c r="A1615" t="str">
        <f t="shared" si="57"/>
        <v>45</v>
      </c>
      <c r="B1615" t="str">
        <f>"45.0602"</f>
        <v>45.0602</v>
      </c>
      <c r="C1615" t="s">
        <v>1426</v>
      </c>
    </row>
    <row r="1616" spans="1:3" x14ac:dyDescent="0.25">
      <c r="A1616" t="str">
        <f t="shared" si="57"/>
        <v>45</v>
      </c>
      <c r="B1616" t="str">
        <f>"45.0603"</f>
        <v>45.0603</v>
      </c>
      <c r="C1616" t="s">
        <v>1427</v>
      </c>
    </row>
    <row r="1617" spans="1:3" x14ac:dyDescent="0.25">
      <c r="A1617" t="str">
        <f t="shared" si="57"/>
        <v>45</v>
      </c>
      <c r="B1617" t="str">
        <f>"45.0604"</f>
        <v>45.0604</v>
      </c>
      <c r="C1617" t="s">
        <v>1428</v>
      </c>
    </row>
    <row r="1618" spans="1:3" x14ac:dyDescent="0.25">
      <c r="A1618" t="str">
        <f t="shared" si="57"/>
        <v>45</v>
      </c>
      <c r="B1618" t="str">
        <f>"45.0605"</f>
        <v>45.0605</v>
      </c>
      <c r="C1618" t="s">
        <v>1429</v>
      </c>
    </row>
    <row r="1619" spans="1:3" x14ac:dyDescent="0.25">
      <c r="A1619" t="str">
        <f t="shared" si="57"/>
        <v>45</v>
      </c>
      <c r="B1619" t="str">
        <f>"45.0699"</f>
        <v>45.0699</v>
      </c>
      <c r="C1619" t="s">
        <v>1430</v>
      </c>
    </row>
    <row r="1620" spans="1:3" x14ac:dyDescent="0.25">
      <c r="A1620" t="str">
        <f t="shared" si="57"/>
        <v>45</v>
      </c>
      <c r="B1620" t="str">
        <f>"45.07"</f>
        <v>45.07</v>
      </c>
      <c r="C1620" t="s">
        <v>1431</v>
      </c>
    </row>
    <row r="1621" spans="1:3" x14ac:dyDescent="0.25">
      <c r="A1621" t="str">
        <f t="shared" si="57"/>
        <v>45</v>
      </c>
      <c r="B1621" t="str">
        <f>"45.0701"</f>
        <v>45.0701</v>
      </c>
      <c r="C1621" t="s">
        <v>1432</v>
      </c>
    </row>
    <row r="1622" spans="1:3" x14ac:dyDescent="0.25">
      <c r="A1622" t="str">
        <f t="shared" si="57"/>
        <v>45</v>
      </c>
      <c r="B1622" t="str">
        <f>"45.0702"</f>
        <v>45.0702</v>
      </c>
      <c r="C1622" t="s">
        <v>1433</v>
      </c>
    </row>
    <row r="1623" spans="1:3" x14ac:dyDescent="0.25">
      <c r="A1623" t="str">
        <f t="shared" si="57"/>
        <v>45</v>
      </c>
      <c r="B1623" t="str">
        <f>"45.0799"</f>
        <v>45.0799</v>
      </c>
      <c r="C1623" t="s">
        <v>1434</v>
      </c>
    </row>
    <row r="1624" spans="1:3" x14ac:dyDescent="0.25">
      <c r="A1624" t="str">
        <f t="shared" si="57"/>
        <v>45</v>
      </c>
      <c r="B1624" t="str">
        <f>"45.09"</f>
        <v>45.09</v>
      </c>
      <c r="C1624" t="s">
        <v>1435</v>
      </c>
    </row>
    <row r="1625" spans="1:3" x14ac:dyDescent="0.25">
      <c r="A1625" t="str">
        <f t="shared" ref="A1625:A1648" si="58">"45"</f>
        <v>45</v>
      </c>
      <c r="B1625" t="str">
        <f>"45.0901"</f>
        <v>45.0901</v>
      </c>
      <c r="C1625" t="s">
        <v>1436</v>
      </c>
    </row>
    <row r="1626" spans="1:3" x14ac:dyDescent="0.25">
      <c r="A1626" t="str">
        <f t="shared" si="58"/>
        <v>45</v>
      </c>
      <c r="B1626" t="str">
        <f>"45.0902"</f>
        <v>45.0902</v>
      </c>
      <c r="C1626" t="s">
        <v>1437</v>
      </c>
    </row>
    <row r="1627" spans="1:3" x14ac:dyDescent="0.25">
      <c r="A1627" t="str">
        <f t="shared" si="58"/>
        <v>45</v>
      </c>
      <c r="B1627" t="str">
        <f>"45.0999"</f>
        <v>45.0999</v>
      </c>
      <c r="C1627" t="s">
        <v>1438</v>
      </c>
    </row>
    <row r="1628" spans="1:3" x14ac:dyDescent="0.25">
      <c r="A1628" t="str">
        <f t="shared" si="58"/>
        <v>45</v>
      </c>
      <c r="B1628" t="str">
        <f>"45.10"</f>
        <v>45.10</v>
      </c>
      <c r="C1628" t="s">
        <v>1439</v>
      </c>
    </row>
    <row r="1629" spans="1:3" x14ac:dyDescent="0.25">
      <c r="A1629" t="str">
        <f t="shared" si="58"/>
        <v>45</v>
      </c>
      <c r="B1629" t="str">
        <f>"45.1001"</f>
        <v>45.1001</v>
      </c>
      <c r="C1629" t="s">
        <v>1440</v>
      </c>
    </row>
    <row r="1630" spans="1:3" x14ac:dyDescent="0.25">
      <c r="A1630" t="str">
        <f t="shared" si="58"/>
        <v>45</v>
      </c>
      <c r="B1630" t="str">
        <f>"45.1002"</f>
        <v>45.1002</v>
      </c>
      <c r="C1630" t="s">
        <v>1441</v>
      </c>
    </row>
    <row r="1631" spans="1:3" x14ac:dyDescent="0.25">
      <c r="A1631" t="str">
        <f t="shared" si="58"/>
        <v>45</v>
      </c>
      <c r="B1631" t="str">
        <f>"45.1003"</f>
        <v>45.1003</v>
      </c>
      <c r="C1631" t="s">
        <v>1442</v>
      </c>
    </row>
    <row r="1632" spans="1:3" x14ac:dyDescent="0.25">
      <c r="A1632" t="str">
        <f t="shared" si="58"/>
        <v>45</v>
      </c>
      <c r="B1632" t="str">
        <f>"45.1004"</f>
        <v>45.1004</v>
      </c>
      <c r="C1632" t="s">
        <v>1443</v>
      </c>
    </row>
    <row r="1633" spans="1:3" x14ac:dyDescent="0.25">
      <c r="A1633" t="str">
        <f t="shared" si="58"/>
        <v>45</v>
      </c>
      <c r="B1633" t="str">
        <f>"45.1099"</f>
        <v>45.1099</v>
      </c>
      <c r="C1633" t="s">
        <v>1444</v>
      </c>
    </row>
    <row r="1634" spans="1:3" x14ac:dyDescent="0.25">
      <c r="A1634" t="str">
        <f t="shared" si="58"/>
        <v>45</v>
      </c>
      <c r="B1634" t="str">
        <f>"45.11"</f>
        <v>45.11</v>
      </c>
      <c r="C1634" t="s">
        <v>1445</v>
      </c>
    </row>
    <row r="1635" spans="1:3" x14ac:dyDescent="0.25">
      <c r="A1635" t="str">
        <f t="shared" si="58"/>
        <v>45</v>
      </c>
      <c r="B1635" t="str">
        <f>"45.1101"</f>
        <v>45.1101</v>
      </c>
      <c r="C1635" t="s">
        <v>1446</v>
      </c>
    </row>
    <row r="1636" spans="1:3" x14ac:dyDescent="0.25">
      <c r="A1636" t="str">
        <f t="shared" si="58"/>
        <v>45</v>
      </c>
      <c r="B1636" t="str">
        <f>"45.1102"</f>
        <v>45.1102</v>
      </c>
      <c r="C1636" t="s">
        <v>1447</v>
      </c>
    </row>
    <row r="1637" spans="1:3" x14ac:dyDescent="0.25">
      <c r="A1637" t="str">
        <f t="shared" si="58"/>
        <v>45</v>
      </c>
      <c r="B1637" t="str">
        <f>"45.1103"</f>
        <v>45.1103</v>
      </c>
      <c r="C1637" t="s">
        <v>1448</v>
      </c>
    </row>
    <row r="1638" spans="1:3" x14ac:dyDescent="0.25">
      <c r="A1638" t="str">
        <f t="shared" si="58"/>
        <v>45</v>
      </c>
      <c r="B1638" t="str">
        <f>"45.1199"</f>
        <v>45.1199</v>
      </c>
      <c r="C1638" t="s">
        <v>1449</v>
      </c>
    </row>
    <row r="1639" spans="1:3" x14ac:dyDescent="0.25">
      <c r="A1639" t="str">
        <f t="shared" si="58"/>
        <v>45</v>
      </c>
      <c r="B1639" t="str">
        <f>"45.12"</f>
        <v>45.12</v>
      </c>
      <c r="C1639" t="s">
        <v>1450</v>
      </c>
    </row>
    <row r="1640" spans="1:3" x14ac:dyDescent="0.25">
      <c r="A1640" t="str">
        <f t="shared" si="58"/>
        <v>45</v>
      </c>
      <c r="B1640" t="str">
        <f>"45.1201"</f>
        <v>45.1201</v>
      </c>
      <c r="C1640" t="s">
        <v>1450</v>
      </c>
    </row>
    <row r="1641" spans="1:3" x14ac:dyDescent="0.25">
      <c r="A1641" t="str">
        <f t="shared" si="58"/>
        <v>45</v>
      </c>
      <c r="B1641" t="str">
        <f>"45.13"</f>
        <v>45.13</v>
      </c>
      <c r="C1641" t="s">
        <v>1451</v>
      </c>
    </row>
    <row r="1642" spans="1:3" x14ac:dyDescent="0.25">
      <c r="A1642" t="str">
        <f t="shared" si="58"/>
        <v>45</v>
      </c>
      <c r="B1642" t="str">
        <f>"45.1301"</f>
        <v>45.1301</v>
      </c>
      <c r="C1642" t="s">
        <v>1451</v>
      </c>
    </row>
    <row r="1643" spans="1:3" x14ac:dyDescent="0.25">
      <c r="A1643" t="str">
        <f t="shared" si="58"/>
        <v>45</v>
      </c>
      <c r="B1643" t="str">
        <f>"45.14"</f>
        <v>45.14</v>
      </c>
      <c r="C1643" t="s">
        <v>1448</v>
      </c>
    </row>
    <row r="1644" spans="1:3" x14ac:dyDescent="0.25">
      <c r="A1644" t="str">
        <f t="shared" si="58"/>
        <v>45</v>
      </c>
      <c r="B1644" t="str">
        <f>"45.1401"</f>
        <v>45.1401</v>
      </c>
      <c r="C1644" t="s">
        <v>1448</v>
      </c>
    </row>
    <row r="1645" spans="1:3" x14ac:dyDescent="0.25">
      <c r="A1645" t="str">
        <f t="shared" si="58"/>
        <v>45</v>
      </c>
      <c r="B1645" t="str">
        <f>"45.15"</f>
        <v>45.15</v>
      </c>
      <c r="C1645" t="s">
        <v>1452</v>
      </c>
    </row>
    <row r="1646" spans="1:3" x14ac:dyDescent="0.25">
      <c r="A1646" t="str">
        <f t="shared" si="58"/>
        <v>45</v>
      </c>
      <c r="B1646" t="str">
        <f>"45.1501"</f>
        <v>45.1501</v>
      </c>
      <c r="C1646" t="s">
        <v>1452</v>
      </c>
    </row>
    <row r="1647" spans="1:3" x14ac:dyDescent="0.25">
      <c r="A1647" t="str">
        <f t="shared" si="58"/>
        <v>45</v>
      </c>
      <c r="B1647" t="str">
        <f>"45.99"</f>
        <v>45.99</v>
      </c>
      <c r="C1647" t="s">
        <v>1410</v>
      </c>
    </row>
    <row r="1648" spans="1:3" x14ac:dyDescent="0.25">
      <c r="A1648" t="str">
        <f t="shared" si="58"/>
        <v>45</v>
      </c>
      <c r="B1648" t="str">
        <f>"45.9999"</f>
        <v>45.9999</v>
      </c>
      <c r="C1648" t="s">
        <v>1410</v>
      </c>
    </row>
    <row r="1649" spans="1:3" x14ac:dyDescent="0.25">
      <c r="A1649" t="str">
        <f>"46"</f>
        <v>46</v>
      </c>
      <c r="B1649" t="str">
        <f>"46"</f>
        <v>46</v>
      </c>
      <c r="C1649" t="s">
        <v>1453</v>
      </c>
    </row>
    <row r="1650" spans="1:3" x14ac:dyDescent="0.25">
      <c r="A1650" t="str">
        <f t="shared" ref="A1650:A1682" si="59">"46"</f>
        <v>46</v>
      </c>
      <c r="B1650" t="str">
        <f>"46.00"</f>
        <v>46.00</v>
      </c>
      <c r="C1650" t="s">
        <v>1454</v>
      </c>
    </row>
    <row r="1651" spans="1:3" x14ac:dyDescent="0.25">
      <c r="A1651" t="str">
        <f t="shared" si="59"/>
        <v>46</v>
      </c>
      <c r="B1651" t="str">
        <f>"46.0000"</f>
        <v>46.0000</v>
      </c>
      <c r="C1651" t="s">
        <v>1454</v>
      </c>
    </row>
    <row r="1652" spans="1:3" x14ac:dyDescent="0.25">
      <c r="A1652" t="str">
        <f t="shared" si="59"/>
        <v>46</v>
      </c>
      <c r="B1652" t="str">
        <f>"46.01"</f>
        <v>46.01</v>
      </c>
      <c r="C1652" t="s">
        <v>1455</v>
      </c>
    </row>
    <row r="1653" spans="1:3" x14ac:dyDescent="0.25">
      <c r="A1653" t="str">
        <f t="shared" si="59"/>
        <v>46</v>
      </c>
      <c r="B1653" t="str">
        <f>"46.0101"</f>
        <v>46.0101</v>
      </c>
      <c r="C1653" t="s">
        <v>1455</v>
      </c>
    </row>
    <row r="1654" spans="1:3" x14ac:dyDescent="0.25">
      <c r="A1654" t="str">
        <f t="shared" si="59"/>
        <v>46</v>
      </c>
      <c r="B1654" t="str">
        <f>"46.02"</f>
        <v>46.02</v>
      </c>
      <c r="C1654" t="s">
        <v>1456</v>
      </c>
    </row>
    <row r="1655" spans="1:3" x14ac:dyDescent="0.25">
      <c r="A1655" t="str">
        <f t="shared" si="59"/>
        <v>46</v>
      </c>
      <c r="B1655" t="str">
        <f>"46.0201"</f>
        <v>46.0201</v>
      </c>
      <c r="C1655" t="s">
        <v>1457</v>
      </c>
    </row>
    <row r="1656" spans="1:3" x14ac:dyDescent="0.25">
      <c r="A1656" t="str">
        <f t="shared" si="59"/>
        <v>46</v>
      </c>
      <c r="B1656" t="str">
        <f>"46.03"</f>
        <v>46.03</v>
      </c>
      <c r="C1656" t="s">
        <v>1458</v>
      </c>
    </row>
    <row r="1657" spans="1:3" x14ac:dyDescent="0.25">
      <c r="A1657" t="str">
        <f t="shared" si="59"/>
        <v>46</v>
      </c>
      <c r="B1657" t="str">
        <f>"46.0301"</f>
        <v>46.0301</v>
      </c>
      <c r="C1657" t="s">
        <v>1459</v>
      </c>
    </row>
    <row r="1658" spans="1:3" x14ac:dyDescent="0.25">
      <c r="A1658" t="str">
        <f t="shared" si="59"/>
        <v>46</v>
      </c>
      <c r="B1658" t="str">
        <f>"46.0302"</f>
        <v>46.0302</v>
      </c>
      <c r="C1658" t="s">
        <v>1460</v>
      </c>
    </row>
    <row r="1659" spans="1:3" x14ac:dyDescent="0.25">
      <c r="A1659" t="str">
        <f t="shared" si="59"/>
        <v>46</v>
      </c>
      <c r="B1659" t="str">
        <f>"46.0303"</f>
        <v>46.0303</v>
      </c>
      <c r="C1659" t="s">
        <v>1461</v>
      </c>
    </row>
    <row r="1660" spans="1:3" x14ac:dyDescent="0.25">
      <c r="A1660" t="str">
        <f t="shared" si="59"/>
        <v>46</v>
      </c>
      <c r="B1660" t="str">
        <f>"46.0399"</f>
        <v>46.0399</v>
      </c>
      <c r="C1660" t="s">
        <v>1462</v>
      </c>
    </row>
    <row r="1661" spans="1:3" x14ac:dyDescent="0.25">
      <c r="A1661" t="str">
        <f t="shared" si="59"/>
        <v>46</v>
      </c>
      <c r="B1661" t="str">
        <f>"46.04"</f>
        <v>46.04</v>
      </c>
      <c r="C1661" t="s">
        <v>1463</v>
      </c>
    </row>
    <row r="1662" spans="1:3" x14ac:dyDescent="0.25">
      <c r="A1662" t="str">
        <f t="shared" si="59"/>
        <v>46</v>
      </c>
      <c r="B1662" t="str">
        <f>"46.0401"</f>
        <v>46.0401</v>
      </c>
      <c r="C1662" t="s">
        <v>1464</v>
      </c>
    </row>
    <row r="1663" spans="1:3" x14ac:dyDescent="0.25">
      <c r="A1663" t="str">
        <f t="shared" si="59"/>
        <v>46</v>
      </c>
      <c r="B1663" t="str">
        <f>"46.0402"</f>
        <v>46.0402</v>
      </c>
      <c r="C1663" t="s">
        <v>1465</v>
      </c>
    </row>
    <row r="1664" spans="1:3" x14ac:dyDescent="0.25">
      <c r="A1664" t="str">
        <f t="shared" si="59"/>
        <v>46</v>
      </c>
      <c r="B1664" t="str">
        <f>"46.0403"</f>
        <v>46.0403</v>
      </c>
      <c r="C1664" t="s">
        <v>1466</v>
      </c>
    </row>
    <row r="1665" spans="1:3" x14ac:dyDescent="0.25">
      <c r="A1665" t="str">
        <f t="shared" si="59"/>
        <v>46</v>
      </c>
      <c r="B1665" t="str">
        <f>"46.0404"</f>
        <v>46.0404</v>
      </c>
      <c r="C1665" t="s">
        <v>1467</v>
      </c>
    </row>
    <row r="1666" spans="1:3" x14ac:dyDescent="0.25">
      <c r="A1666" t="str">
        <f t="shared" si="59"/>
        <v>46</v>
      </c>
      <c r="B1666" t="str">
        <f>"46.0406"</f>
        <v>46.0406</v>
      </c>
      <c r="C1666" t="s">
        <v>1468</v>
      </c>
    </row>
    <row r="1667" spans="1:3" x14ac:dyDescent="0.25">
      <c r="A1667" t="str">
        <f t="shared" si="59"/>
        <v>46</v>
      </c>
      <c r="B1667" t="str">
        <f>"46.0408"</f>
        <v>46.0408</v>
      </c>
      <c r="C1667" t="s">
        <v>1469</v>
      </c>
    </row>
    <row r="1668" spans="1:3" x14ac:dyDescent="0.25">
      <c r="A1668" t="str">
        <f t="shared" si="59"/>
        <v>46</v>
      </c>
      <c r="B1668" t="str">
        <f>"46.0410"</f>
        <v>46.0410</v>
      </c>
      <c r="C1668" t="s">
        <v>1470</v>
      </c>
    </row>
    <row r="1669" spans="1:3" x14ac:dyDescent="0.25">
      <c r="A1669" t="str">
        <f t="shared" si="59"/>
        <v>46</v>
      </c>
      <c r="B1669" t="str">
        <f>"46.0411"</f>
        <v>46.0411</v>
      </c>
      <c r="C1669" t="s">
        <v>1471</v>
      </c>
    </row>
    <row r="1670" spans="1:3" x14ac:dyDescent="0.25">
      <c r="A1670" t="str">
        <f t="shared" si="59"/>
        <v>46</v>
      </c>
      <c r="B1670" t="str">
        <f>"46.0412"</f>
        <v>46.0412</v>
      </c>
      <c r="C1670" t="s">
        <v>1472</v>
      </c>
    </row>
    <row r="1671" spans="1:3" x14ac:dyDescent="0.25">
      <c r="A1671" t="str">
        <f t="shared" si="59"/>
        <v>46</v>
      </c>
      <c r="B1671" t="str">
        <f>"46.0413"</f>
        <v>46.0413</v>
      </c>
      <c r="C1671" t="s">
        <v>1473</v>
      </c>
    </row>
    <row r="1672" spans="1:3" x14ac:dyDescent="0.25">
      <c r="A1672" t="str">
        <f t="shared" si="59"/>
        <v>46</v>
      </c>
      <c r="B1672" t="str">
        <f>"46.0414"</f>
        <v>46.0414</v>
      </c>
      <c r="C1672" t="s">
        <v>1474</v>
      </c>
    </row>
    <row r="1673" spans="1:3" x14ac:dyDescent="0.25">
      <c r="A1673" t="str">
        <f t="shared" si="59"/>
        <v>46</v>
      </c>
      <c r="B1673" t="str">
        <f>"46.0415"</f>
        <v>46.0415</v>
      </c>
      <c r="C1673" t="s">
        <v>1475</v>
      </c>
    </row>
    <row r="1674" spans="1:3" x14ac:dyDescent="0.25">
      <c r="A1674" t="str">
        <f t="shared" si="59"/>
        <v>46</v>
      </c>
      <c r="B1674" t="str">
        <f>"46.0499"</f>
        <v>46.0499</v>
      </c>
      <c r="C1674" t="s">
        <v>1476</v>
      </c>
    </row>
    <row r="1675" spans="1:3" x14ac:dyDescent="0.25">
      <c r="A1675" t="str">
        <f t="shared" si="59"/>
        <v>46</v>
      </c>
      <c r="B1675" t="str">
        <f>"46.05"</f>
        <v>46.05</v>
      </c>
      <c r="C1675" t="s">
        <v>1477</v>
      </c>
    </row>
    <row r="1676" spans="1:3" x14ac:dyDescent="0.25">
      <c r="A1676" t="str">
        <f t="shared" si="59"/>
        <v>46</v>
      </c>
      <c r="B1676" t="str">
        <f>"46.0502"</f>
        <v>46.0502</v>
      </c>
      <c r="C1676" t="s">
        <v>1478</v>
      </c>
    </row>
    <row r="1677" spans="1:3" x14ac:dyDescent="0.25">
      <c r="A1677" t="str">
        <f t="shared" si="59"/>
        <v>46</v>
      </c>
      <c r="B1677" t="str">
        <f>"46.0503"</f>
        <v>46.0503</v>
      </c>
      <c r="C1677" t="s">
        <v>1479</v>
      </c>
    </row>
    <row r="1678" spans="1:3" x14ac:dyDescent="0.25">
      <c r="A1678" t="str">
        <f t="shared" si="59"/>
        <v>46</v>
      </c>
      <c r="B1678" t="str">
        <f>"46.0504"</f>
        <v>46.0504</v>
      </c>
      <c r="C1678" t="s">
        <v>1480</v>
      </c>
    </row>
    <row r="1679" spans="1:3" x14ac:dyDescent="0.25">
      <c r="A1679" t="str">
        <f t="shared" si="59"/>
        <v>46</v>
      </c>
      <c r="B1679" t="str">
        <f>"46.0505"</f>
        <v>46.0505</v>
      </c>
      <c r="C1679" t="s">
        <v>1481</v>
      </c>
    </row>
    <row r="1680" spans="1:3" x14ac:dyDescent="0.25">
      <c r="A1680" t="str">
        <f t="shared" si="59"/>
        <v>46</v>
      </c>
      <c r="B1680" t="str">
        <f>"46.0599"</f>
        <v>46.0599</v>
      </c>
      <c r="C1680" t="s">
        <v>1482</v>
      </c>
    </row>
    <row r="1681" spans="1:3" x14ac:dyDescent="0.25">
      <c r="A1681" t="str">
        <f t="shared" si="59"/>
        <v>46</v>
      </c>
      <c r="B1681" t="str">
        <f>"46.99"</f>
        <v>46.99</v>
      </c>
      <c r="C1681" t="s">
        <v>1483</v>
      </c>
    </row>
    <row r="1682" spans="1:3" x14ac:dyDescent="0.25">
      <c r="A1682" t="str">
        <f t="shared" si="59"/>
        <v>46</v>
      </c>
      <c r="B1682" t="str">
        <f>"46.9999"</f>
        <v>46.9999</v>
      </c>
      <c r="C1682" t="s">
        <v>1483</v>
      </c>
    </row>
    <row r="1683" spans="1:3" x14ac:dyDescent="0.25">
      <c r="A1683" t="str">
        <f>"47"</f>
        <v>47</v>
      </c>
      <c r="B1683" t="str">
        <f>"47"</f>
        <v>47</v>
      </c>
      <c r="C1683" t="s">
        <v>1484</v>
      </c>
    </row>
    <row r="1684" spans="1:3" x14ac:dyDescent="0.25">
      <c r="A1684" t="str">
        <f t="shared" ref="A1684:A1715" si="60">"47"</f>
        <v>47</v>
      </c>
      <c r="B1684" t="str">
        <f>"47.00"</f>
        <v>47.00</v>
      </c>
      <c r="C1684" t="s">
        <v>1485</v>
      </c>
    </row>
    <row r="1685" spans="1:3" x14ac:dyDescent="0.25">
      <c r="A1685" t="str">
        <f t="shared" si="60"/>
        <v>47</v>
      </c>
      <c r="B1685" t="str">
        <f>"47.0000"</f>
        <v>47.0000</v>
      </c>
      <c r="C1685" t="s">
        <v>1485</v>
      </c>
    </row>
    <row r="1686" spans="1:3" x14ac:dyDescent="0.25">
      <c r="A1686" t="str">
        <f t="shared" si="60"/>
        <v>47</v>
      </c>
      <c r="B1686" t="str">
        <f>"47.01"</f>
        <v>47.01</v>
      </c>
      <c r="C1686" t="s">
        <v>1486</v>
      </c>
    </row>
    <row r="1687" spans="1:3" x14ac:dyDescent="0.25">
      <c r="A1687" t="str">
        <f t="shared" si="60"/>
        <v>47</v>
      </c>
      <c r="B1687" t="str">
        <f>"47.0101"</f>
        <v>47.0101</v>
      </c>
      <c r="C1687" t="s">
        <v>1487</v>
      </c>
    </row>
    <row r="1688" spans="1:3" x14ac:dyDescent="0.25">
      <c r="A1688" t="str">
        <f t="shared" si="60"/>
        <v>47</v>
      </c>
      <c r="B1688" t="str">
        <f>"47.0102"</f>
        <v>47.0102</v>
      </c>
      <c r="C1688" t="s">
        <v>1488</v>
      </c>
    </row>
    <row r="1689" spans="1:3" x14ac:dyDescent="0.25">
      <c r="A1689" t="str">
        <f t="shared" si="60"/>
        <v>47</v>
      </c>
      <c r="B1689" t="str">
        <f>"47.0103"</f>
        <v>47.0103</v>
      </c>
      <c r="C1689" t="s">
        <v>1489</v>
      </c>
    </row>
    <row r="1690" spans="1:3" x14ac:dyDescent="0.25">
      <c r="A1690" t="str">
        <f t="shared" si="60"/>
        <v>47</v>
      </c>
      <c r="B1690" t="str">
        <f>"47.0104"</f>
        <v>47.0104</v>
      </c>
      <c r="C1690" t="s">
        <v>1490</v>
      </c>
    </row>
    <row r="1691" spans="1:3" x14ac:dyDescent="0.25">
      <c r="A1691" t="str">
        <f t="shared" si="60"/>
        <v>47</v>
      </c>
      <c r="B1691" t="str">
        <f>"47.0105"</f>
        <v>47.0105</v>
      </c>
      <c r="C1691" t="s">
        <v>1491</v>
      </c>
    </row>
    <row r="1692" spans="1:3" x14ac:dyDescent="0.25">
      <c r="A1692" t="str">
        <f t="shared" si="60"/>
        <v>47</v>
      </c>
      <c r="B1692" t="str">
        <f>"47.0106"</f>
        <v>47.0106</v>
      </c>
      <c r="C1692" t="s">
        <v>1492</v>
      </c>
    </row>
    <row r="1693" spans="1:3" x14ac:dyDescent="0.25">
      <c r="A1693" t="str">
        <f t="shared" si="60"/>
        <v>47</v>
      </c>
      <c r="B1693" t="str">
        <f>"47.0110"</f>
        <v>47.0110</v>
      </c>
      <c r="C1693" t="s">
        <v>1493</v>
      </c>
    </row>
    <row r="1694" spans="1:3" x14ac:dyDescent="0.25">
      <c r="A1694" t="str">
        <f t="shared" si="60"/>
        <v>47</v>
      </c>
      <c r="B1694" t="str">
        <f>"47.0199"</f>
        <v>47.0199</v>
      </c>
      <c r="C1694" t="s">
        <v>1494</v>
      </c>
    </row>
    <row r="1695" spans="1:3" x14ac:dyDescent="0.25">
      <c r="A1695" t="str">
        <f t="shared" si="60"/>
        <v>47</v>
      </c>
      <c r="B1695" t="str">
        <f>"47.02"</f>
        <v>47.02</v>
      </c>
      <c r="C1695" t="s">
        <v>1495</v>
      </c>
    </row>
    <row r="1696" spans="1:3" x14ac:dyDescent="0.25">
      <c r="A1696" t="str">
        <f t="shared" si="60"/>
        <v>47</v>
      </c>
      <c r="B1696" t="str">
        <f>"47.0201"</f>
        <v>47.0201</v>
      </c>
      <c r="C1696" t="s">
        <v>1496</v>
      </c>
    </row>
    <row r="1697" spans="1:3" x14ac:dyDescent="0.25">
      <c r="A1697" t="str">
        <f t="shared" si="60"/>
        <v>47</v>
      </c>
      <c r="B1697" t="str">
        <f>"47.03"</f>
        <v>47.03</v>
      </c>
      <c r="C1697" t="s">
        <v>1497</v>
      </c>
    </row>
    <row r="1698" spans="1:3" x14ac:dyDescent="0.25">
      <c r="A1698" t="str">
        <f t="shared" si="60"/>
        <v>47</v>
      </c>
      <c r="B1698" t="str">
        <f>"47.0302"</f>
        <v>47.0302</v>
      </c>
      <c r="C1698" t="s">
        <v>1498</v>
      </c>
    </row>
    <row r="1699" spans="1:3" x14ac:dyDescent="0.25">
      <c r="A1699" t="str">
        <f t="shared" si="60"/>
        <v>47</v>
      </c>
      <c r="B1699" t="str">
        <f>"47.0303"</f>
        <v>47.0303</v>
      </c>
      <c r="C1699" t="s">
        <v>1499</v>
      </c>
    </row>
    <row r="1700" spans="1:3" x14ac:dyDescent="0.25">
      <c r="A1700" t="str">
        <f t="shared" si="60"/>
        <v>47</v>
      </c>
      <c r="B1700" t="str">
        <f>"47.0399"</f>
        <v>47.0399</v>
      </c>
      <c r="C1700" t="s">
        <v>1500</v>
      </c>
    </row>
    <row r="1701" spans="1:3" x14ac:dyDescent="0.25">
      <c r="A1701" t="str">
        <f t="shared" si="60"/>
        <v>47</v>
      </c>
      <c r="B1701" t="str">
        <f>"47.04"</f>
        <v>47.04</v>
      </c>
      <c r="C1701" t="s">
        <v>1501</v>
      </c>
    </row>
    <row r="1702" spans="1:3" x14ac:dyDescent="0.25">
      <c r="A1702" t="str">
        <f t="shared" si="60"/>
        <v>47</v>
      </c>
      <c r="B1702" t="str">
        <f>"47.0402"</f>
        <v>47.0402</v>
      </c>
      <c r="C1702" t="s">
        <v>1502</v>
      </c>
    </row>
    <row r="1703" spans="1:3" x14ac:dyDescent="0.25">
      <c r="A1703" t="str">
        <f t="shared" si="60"/>
        <v>47</v>
      </c>
      <c r="B1703" t="str">
        <f>"47.0403"</f>
        <v>47.0403</v>
      </c>
      <c r="C1703" t="s">
        <v>1503</v>
      </c>
    </row>
    <row r="1704" spans="1:3" x14ac:dyDescent="0.25">
      <c r="A1704" t="str">
        <f t="shared" si="60"/>
        <v>47</v>
      </c>
      <c r="B1704" t="str">
        <f>"47.0404"</f>
        <v>47.0404</v>
      </c>
      <c r="C1704" t="s">
        <v>1504</v>
      </c>
    </row>
    <row r="1705" spans="1:3" x14ac:dyDescent="0.25">
      <c r="A1705" t="str">
        <f t="shared" si="60"/>
        <v>47</v>
      </c>
      <c r="B1705" t="str">
        <f>"47.0408"</f>
        <v>47.0408</v>
      </c>
      <c r="C1705" t="s">
        <v>1505</v>
      </c>
    </row>
    <row r="1706" spans="1:3" x14ac:dyDescent="0.25">
      <c r="A1706" t="str">
        <f t="shared" si="60"/>
        <v>47</v>
      </c>
      <c r="B1706" t="str">
        <f>"47.0409"</f>
        <v>47.0409</v>
      </c>
      <c r="C1706" t="s">
        <v>1506</v>
      </c>
    </row>
    <row r="1707" spans="1:3" x14ac:dyDescent="0.25">
      <c r="A1707" t="str">
        <f t="shared" si="60"/>
        <v>47</v>
      </c>
      <c r="B1707" t="str">
        <f>"47.0499"</f>
        <v>47.0499</v>
      </c>
      <c r="C1707" t="s">
        <v>1507</v>
      </c>
    </row>
    <row r="1708" spans="1:3" x14ac:dyDescent="0.25">
      <c r="A1708" t="str">
        <f t="shared" si="60"/>
        <v>47</v>
      </c>
      <c r="B1708" t="str">
        <f>"47.06"</f>
        <v>47.06</v>
      </c>
      <c r="C1708" t="s">
        <v>1508</v>
      </c>
    </row>
    <row r="1709" spans="1:3" x14ac:dyDescent="0.25">
      <c r="A1709" t="str">
        <f t="shared" si="60"/>
        <v>47</v>
      </c>
      <c r="B1709" t="str">
        <f>"47.0600"</f>
        <v>47.0600</v>
      </c>
      <c r="C1709" t="s">
        <v>1509</v>
      </c>
    </row>
    <row r="1710" spans="1:3" x14ac:dyDescent="0.25">
      <c r="A1710" t="str">
        <f t="shared" si="60"/>
        <v>47</v>
      </c>
      <c r="B1710" t="str">
        <f>"47.0603"</f>
        <v>47.0603</v>
      </c>
      <c r="C1710" t="s">
        <v>1510</v>
      </c>
    </row>
    <row r="1711" spans="1:3" x14ac:dyDescent="0.25">
      <c r="A1711" t="str">
        <f t="shared" si="60"/>
        <v>47</v>
      </c>
      <c r="B1711" t="str">
        <f>"47.0604"</f>
        <v>47.0604</v>
      </c>
      <c r="C1711" t="s">
        <v>1511</v>
      </c>
    </row>
    <row r="1712" spans="1:3" x14ac:dyDescent="0.25">
      <c r="A1712" t="str">
        <f t="shared" si="60"/>
        <v>47</v>
      </c>
      <c r="B1712" t="str">
        <f>"47.0605"</f>
        <v>47.0605</v>
      </c>
      <c r="C1712" t="s">
        <v>1512</v>
      </c>
    </row>
    <row r="1713" spans="1:3" x14ac:dyDescent="0.25">
      <c r="A1713" t="str">
        <f t="shared" si="60"/>
        <v>47</v>
      </c>
      <c r="B1713" t="str">
        <f>"47.0606"</f>
        <v>47.0606</v>
      </c>
      <c r="C1713" t="s">
        <v>1513</v>
      </c>
    </row>
    <row r="1714" spans="1:3" x14ac:dyDescent="0.25">
      <c r="A1714" t="str">
        <f t="shared" si="60"/>
        <v>47</v>
      </c>
      <c r="B1714" t="str">
        <f>"47.0607"</f>
        <v>47.0607</v>
      </c>
      <c r="C1714" t="s">
        <v>1514</v>
      </c>
    </row>
    <row r="1715" spans="1:3" x14ac:dyDescent="0.25">
      <c r="A1715" t="str">
        <f t="shared" si="60"/>
        <v>47</v>
      </c>
      <c r="B1715" t="str">
        <f>"47.0608"</f>
        <v>47.0608</v>
      </c>
      <c r="C1715" t="s">
        <v>1515</v>
      </c>
    </row>
    <row r="1716" spans="1:3" x14ac:dyDescent="0.25">
      <c r="A1716" t="str">
        <f t="shared" ref="A1716:A1735" si="61">"47"</f>
        <v>47</v>
      </c>
      <c r="B1716" t="str">
        <f>"47.0609"</f>
        <v>47.0609</v>
      </c>
      <c r="C1716" t="s">
        <v>1516</v>
      </c>
    </row>
    <row r="1717" spans="1:3" x14ac:dyDescent="0.25">
      <c r="A1717" t="str">
        <f t="shared" si="61"/>
        <v>47</v>
      </c>
      <c r="B1717" t="str">
        <f>"47.0610"</f>
        <v>47.0610</v>
      </c>
      <c r="C1717" t="s">
        <v>1517</v>
      </c>
    </row>
    <row r="1718" spans="1:3" x14ac:dyDescent="0.25">
      <c r="A1718" t="str">
        <f t="shared" si="61"/>
        <v>47</v>
      </c>
      <c r="B1718" t="str">
        <f>"47.0611"</f>
        <v>47.0611</v>
      </c>
      <c r="C1718" t="s">
        <v>1518</v>
      </c>
    </row>
    <row r="1719" spans="1:3" x14ac:dyDescent="0.25">
      <c r="A1719" t="str">
        <f t="shared" si="61"/>
        <v>47</v>
      </c>
      <c r="B1719" t="str">
        <f>"47.0612"</f>
        <v>47.0612</v>
      </c>
      <c r="C1719" t="s">
        <v>1519</v>
      </c>
    </row>
    <row r="1720" spans="1:3" x14ac:dyDescent="0.25">
      <c r="A1720" t="str">
        <f t="shared" si="61"/>
        <v>47</v>
      </c>
      <c r="B1720" t="str">
        <f>"47.0613"</f>
        <v>47.0613</v>
      </c>
      <c r="C1720" t="s">
        <v>1520</v>
      </c>
    </row>
    <row r="1721" spans="1:3" x14ac:dyDescent="0.25">
      <c r="A1721" t="str">
        <f t="shared" si="61"/>
        <v>47</v>
      </c>
      <c r="B1721" t="str">
        <f>"47.0614"</f>
        <v>47.0614</v>
      </c>
      <c r="C1721" t="s">
        <v>1521</v>
      </c>
    </row>
    <row r="1722" spans="1:3" x14ac:dyDescent="0.25">
      <c r="A1722" t="str">
        <f t="shared" si="61"/>
        <v>47</v>
      </c>
      <c r="B1722" t="str">
        <f>"47.0615"</f>
        <v>47.0615</v>
      </c>
      <c r="C1722" t="s">
        <v>1522</v>
      </c>
    </row>
    <row r="1723" spans="1:3" x14ac:dyDescent="0.25">
      <c r="A1723" t="str">
        <f t="shared" si="61"/>
        <v>47</v>
      </c>
      <c r="B1723" t="str">
        <f>"47.0616"</f>
        <v>47.0616</v>
      </c>
      <c r="C1723" t="s">
        <v>1523</v>
      </c>
    </row>
    <row r="1724" spans="1:3" x14ac:dyDescent="0.25">
      <c r="A1724" t="str">
        <f t="shared" si="61"/>
        <v>47</v>
      </c>
      <c r="B1724" t="str">
        <f>"47.0617"</f>
        <v>47.0617</v>
      </c>
      <c r="C1724" t="s">
        <v>1524</v>
      </c>
    </row>
    <row r="1725" spans="1:3" x14ac:dyDescent="0.25">
      <c r="A1725" t="str">
        <f t="shared" si="61"/>
        <v>47</v>
      </c>
      <c r="B1725" t="str">
        <f>"47.0618"</f>
        <v>47.0618</v>
      </c>
      <c r="C1725" t="s">
        <v>1525</v>
      </c>
    </row>
    <row r="1726" spans="1:3" x14ac:dyDescent="0.25">
      <c r="A1726" t="str">
        <f t="shared" si="61"/>
        <v>47</v>
      </c>
      <c r="B1726" t="str">
        <f>"47.0699"</f>
        <v>47.0699</v>
      </c>
      <c r="C1726" t="s">
        <v>1526</v>
      </c>
    </row>
    <row r="1727" spans="1:3" x14ac:dyDescent="0.25">
      <c r="A1727" t="str">
        <f t="shared" si="61"/>
        <v>47</v>
      </c>
      <c r="B1727" t="str">
        <f>"47.07"</f>
        <v>47.07</v>
      </c>
      <c r="C1727" t="s">
        <v>1527</v>
      </c>
    </row>
    <row r="1728" spans="1:3" x14ac:dyDescent="0.25">
      <c r="A1728" t="str">
        <f t="shared" si="61"/>
        <v>47</v>
      </c>
      <c r="B1728" t="str">
        <f>"47.0701"</f>
        <v>47.0701</v>
      </c>
      <c r="C1728" t="s">
        <v>1528</v>
      </c>
    </row>
    <row r="1729" spans="1:3" x14ac:dyDescent="0.25">
      <c r="A1729" t="str">
        <f t="shared" si="61"/>
        <v>47</v>
      </c>
      <c r="B1729" t="str">
        <f>"47.0703"</f>
        <v>47.0703</v>
      </c>
      <c r="C1729" t="s">
        <v>1529</v>
      </c>
    </row>
    <row r="1730" spans="1:3" x14ac:dyDescent="0.25">
      <c r="A1730" t="str">
        <f t="shared" si="61"/>
        <v>47</v>
      </c>
      <c r="B1730" t="str">
        <f>"47.0704"</f>
        <v>47.0704</v>
      </c>
      <c r="C1730" t="s">
        <v>1530</v>
      </c>
    </row>
    <row r="1731" spans="1:3" x14ac:dyDescent="0.25">
      <c r="A1731" t="str">
        <f t="shared" si="61"/>
        <v>47</v>
      </c>
      <c r="B1731" t="str">
        <f>"47.0705"</f>
        <v>47.0705</v>
      </c>
      <c r="C1731" t="s">
        <v>1531</v>
      </c>
    </row>
    <row r="1732" spans="1:3" x14ac:dyDescent="0.25">
      <c r="A1732" t="str">
        <f t="shared" si="61"/>
        <v>47</v>
      </c>
      <c r="B1732" t="str">
        <f>"47.0706"</f>
        <v>47.0706</v>
      </c>
      <c r="C1732" t="s">
        <v>1532</v>
      </c>
    </row>
    <row r="1733" spans="1:3" x14ac:dyDescent="0.25">
      <c r="A1733" t="str">
        <f t="shared" si="61"/>
        <v>47</v>
      </c>
      <c r="B1733" t="str">
        <f>"47.0799"</f>
        <v>47.0799</v>
      </c>
      <c r="C1733" t="s">
        <v>1533</v>
      </c>
    </row>
    <row r="1734" spans="1:3" x14ac:dyDescent="0.25">
      <c r="A1734" t="str">
        <f t="shared" si="61"/>
        <v>47</v>
      </c>
      <c r="B1734" t="str">
        <f>"47.99"</f>
        <v>47.99</v>
      </c>
      <c r="C1734" t="s">
        <v>1534</v>
      </c>
    </row>
    <row r="1735" spans="1:3" x14ac:dyDescent="0.25">
      <c r="A1735" t="str">
        <f t="shared" si="61"/>
        <v>47</v>
      </c>
      <c r="B1735" t="str">
        <f>"47.9999"</f>
        <v>47.9999</v>
      </c>
      <c r="C1735" t="s">
        <v>1534</v>
      </c>
    </row>
    <row r="1736" spans="1:3" x14ac:dyDescent="0.25">
      <c r="A1736" t="str">
        <f>"48"</f>
        <v>48</v>
      </c>
      <c r="B1736" t="str">
        <f>"48"</f>
        <v>48</v>
      </c>
      <c r="C1736" t="s">
        <v>1535</v>
      </c>
    </row>
    <row r="1737" spans="1:3" x14ac:dyDescent="0.25">
      <c r="A1737" t="str">
        <f t="shared" ref="A1737:A1762" si="62">"48"</f>
        <v>48</v>
      </c>
      <c r="B1737" t="str">
        <f>"48.00"</f>
        <v>48.00</v>
      </c>
      <c r="C1737" t="s">
        <v>1536</v>
      </c>
    </row>
    <row r="1738" spans="1:3" x14ac:dyDescent="0.25">
      <c r="A1738" t="str">
        <f t="shared" si="62"/>
        <v>48</v>
      </c>
      <c r="B1738" t="str">
        <f>"48.0000"</f>
        <v>48.0000</v>
      </c>
      <c r="C1738" t="s">
        <v>1536</v>
      </c>
    </row>
    <row r="1739" spans="1:3" x14ac:dyDescent="0.25">
      <c r="A1739" t="str">
        <f t="shared" si="62"/>
        <v>48</v>
      </c>
      <c r="B1739" t="str">
        <f>"48.03"</f>
        <v>48.03</v>
      </c>
      <c r="C1739" t="s">
        <v>1537</v>
      </c>
    </row>
    <row r="1740" spans="1:3" x14ac:dyDescent="0.25">
      <c r="A1740" t="str">
        <f t="shared" si="62"/>
        <v>48</v>
      </c>
      <c r="B1740" t="str">
        <f>"48.0303"</f>
        <v>48.0303</v>
      </c>
      <c r="C1740" t="s">
        <v>1538</v>
      </c>
    </row>
    <row r="1741" spans="1:3" x14ac:dyDescent="0.25">
      <c r="A1741" t="str">
        <f t="shared" si="62"/>
        <v>48</v>
      </c>
      <c r="B1741" t="str">
        <f>"48.0304"</f>
        <v>48.0304</v>
      </c>
      <c r="C1741" t="s">
        <v>1539</v>
      </c>
    </row>
    <row r="1742" spans="1:3" x14ac:dyDescent="0.25">
      <c r="A1742" t="str">
        <f t="shared" si="62"/>
        <v>48</v>
      </c>
      <c r="B1742" t="str">
        <f>"48.0399"</f>
        <v>48.0399</v>
      </c>
      <c r="C1742" t="s">
        <v>1540</v>
      </c>
    </row>
    <row r="1743" spans="1:3" x14ac:dyDescent="0.25">
      <c r="A1743" t="str">
        <f t="shared" si="62"/>
        <v>48</v>
      </c>
      <c r="B1743" t="str">
        <f>"48.05"</f>
        <v>48.05</v>
      </c>
      <c r="C1743" t="s">
        <v>1541</v>
      </c>
    </row>
    <row r="1744" spans="1:3" x14ac:dyDescent="0.25">
      <c r="A1744" t="str">
        <f t="shared" si="62"/>
        <v>48</v>
      </c>
      <c r="B1744" t="str">
        <f>"48.0501"</f>
        <v>48.0501</v>
      </c>
      <c r="C1744" t="s">
        <v>1542</v>
      </c>
    </row>
    <row r="1745" spans="1:3" x14ac:dyDescent="0.25">
      <c r="A1745" t="str">
        <f t="shared" si="62"/>
        <v>48</v>
      </c>
      <c r="B1745" t="str">
        <f>"48.0503"</f>
        <v>48.0503</v>
      </c>
      <c r="C1745" t="s">
        <v>1543</v>
      </c>
    </row>
    <row r="1746" spans="1:3" x14ac:dyDescent="0.25">
      <c r="A1746" t="str">
        <f t="shared" si="62"/>
        <v>48</v>
      </c>
      <c r="B1746" t="str">
        <f>"48.0506"</f>
        <v>48.0506</v>
      </c>
      <c r="C1746" t="s">
        <v>1544</v>
      </c>
    </row>
    <row r="1747" spans="1:3" x14ac:dyDescent="0.25">
      <c r="A1747" t="str">
        <f t="shared" si="62"/>
        <v>48</v>
      </c>
      <c r="B1747" t="str">
        <f>"48.0507"</f>
        <v>48.0507</v>
      </c>
      <c r="C1747" t="s">
        <v>1545</v>
      </c>
    </row>
    <row r="1748" spans="1:3" x14ac:dyDescent="0.25">
      <c r="A1748" t="str">
        <f t="shared" si="62"/>
        <v>48</v>
      </c>
      <c r="B1748" t="str">
        <f>"48.0508"</f>
        <v>48.0508</v>
      </c>
      <c r="C1748" t="s">
        <v>1546</v>
      </c>
    </row>
    <row r="1749" spans="1:3" x14ac:dyDescent="0.25">
      <c r="A1749" t="str">
        <f t="shared" si="62"/>
        <v>48</v>
      </c>
      <c r="B1749" t="str">
        <f>"48.0509"</f>
        <v>48.0509</v>
      </c>
      <c r="C1749" t="s">
        <v>1547</v>
      </c>
    </row>
    <row r="1750" spans="1:3" x14ac:dyDescent="0.25">
      <c r="A1750" t="str">
        <f t="shared" si="62"/>
        <v>48</v>
      </c>
      <c r="B1750" t="str">
        <f>"48.0510"</f>
        <v>48.0510</v>
      </c>
      <c r="C1750" t="s">
        <v>1548</v>
      </c>
    </row>
    <row r="1751" spans="1:3" x14ac:dyDescent="0.25">
      <c r="A1751" t="str">
        <f t="shared" si="62"/>
        <v>48</v>
      </c>
      <c r="B1751" t="str">
        <f>"48.0511"</f>
        <v>48.0511</v>
      </c>
      <c r="C1751" t="s">
        <v>1549</v>
      </c>
    </row>
    <row r="1752" spans="1:3" x14ac:dyDescent="0.25">
      <c r="A1752" t="str">
        <f t="shared" si="62"/>
        <v>48</v>
      </c>
      <c r="B1752" t="str">
        <f>"48.0599"</f>
        <v>48.0599</v>
      </c>
      <c r="C1752" t="s">
        <v>1550</v>
      </c>
    </row>
    <row r="1753" spans="1:3" x14ac:dyDescent="0.25">
      <c r="A1753" t="str">
        <f t="shared" si="62"/>
        <v>48</v>
      </c>
      <c r="B1753" t="str">
        <f>"48.07"</f>
        <v>48.07</v>
      </c>
      <c r="C1753" t="s">
        <v>1551</v>
      </c>
    </row>
    <row r="1754" spans="1:3" x14ac:dyDescent="0.25">
      <c r="A1754" t="str">
        <f t="shared" si="62"/>
        <v>48</v>
      </c>
      <c r="B1754" t="str">
        <f>"48.0701"</f>
        <v>48.0701</v>
      </c>
      <c r="C1754" t="s">
        <v>1552</v>
      </c>
    </row>
    <row r="1755" spans="1:3" x14ac:dyDescent="0.25">
      <c r="A1755" t="str">
        <f t="shared" si="62"/>
        <v>48</v>
      </c>
      <c r="B1755" t="str">
        <f>"48.0702"</f>
        <v>48.0702</v>
      </c>
      <c r="C1755" t="s">
        <v>1553</v>
      </c>
    </row>
    <row r="1756" spans="1:3" x14ac:dyDescent="0.25">
      <c r="A1756" t="str">
        <f t="shared" si="62"/>
        <v>48</v>
      </c>
      <c r="B1756" t="str">
        <f>"48.0703"</f>
        <v>48.0703</v>
      </c>
      <c r="C1756" t="s">
        <v>1554</v>
      </c>
    </row>
    <row r="1757" spans="1:3" x14ac:dyDescent="0.25">
      <c r="A1757" t="str">
        <f t="shared" si="62"/>
        <v>48</v>
      </c>
      <c r="B1757" t="str">
        <f>"48.0704"</f>
        <v>48.0704</v>
      </c>
      <c r="C1757" t="s">
        <v>1555</v>
      </c>
    </row>
    <row r="1758" spans="1:3" x14ac:dyDescent="0.25">
      <c r="A1758" t="str">
        <f t="shared" si="62"/>
        <v>48</v>
      </c>
      <c r="B1758" t="str">
        <f>"48.0799"</f>
        <v>48.0799</v>
      </c>
      <c r="C1758" t="s">
        <v>1556</v>
      </c>
    </row>
    <row r="1759" spans="1:3" x14ac:dyDescent="0.25">
      <c r="A1759" t="str">
        <f t="shared" si="62"/>
        <v>48</v>
      </c>
      <c r="B1759" t="str">
        <f>"48.08"</f>
        <v>48.08</v>
      </c>
      <c r="C1759" t="s">
        <v>1557</v>
      </c>
    </row>
    <row r="1760" spans="1:3" x14ac:dyDescent="0.25">
      <c r="A1760" t="str">
        <f t="shared" si="62"/>
        <v>48</v>
      </c>
      <c r="B1760" t="str">
        <f>"48.0801"</f>
        <v>48.0801</v>
      </c>
      <c r="C1760" t="s">
        <v>1557</v>
      </c>
    </row>
    <row r="1761" spans="1:3" x14ac:dyDescent="0.25">
      <c r="A1761" t="str">
        <f t="shared" si="62"/>
        <v>48</v>
      </c>
      <c r="B1761" t="str">
        <f>"48.99"</f>
        <v>48.99</v>
      </c>
      <c r="C1761" t="s">
        <v>1558</v>
      </c>
    </row>
    <row r="1762" spans="1:3" x14ac:dyDescent="0.25">
      <c r="A1762" t="str">
        <f t="shared" si="62"/>
        <v>48</v>
      </c>
      <c r="B1762" t="str">
        <f>"48.9999"</f>
        <v>48.9999</v>
      </c>
      <c r="C1762" t="s">
        <v>1558</v>
      </c>
    </row>
    <row r="1763" spans="1:3" x14ac:dyDescent="0.25">
      <c r="A1763" t="str">
        <f>"49"</f>
        <v>49</v>
      </c>
      <c r="B1763" t="str">
        <f>"49"</f>
        <v>49</v>
      </c>
      <c r="C1763" t="s">
        <v>1559</v>
      </c>
    </row>
    <row r="1764" spans="1:3" x14ac:dyDescent="0.25">
      <c r="A1764" t="str">
        <f t="shared" ref="A1764:A1787" si="63">"49"</f>
        <v>49</v>
      </c>
      <c r="B1764" t="str">
        <f>"49.01"</f>
        <v>49.01</v>
      </c>
      <c r="C1764" t="s">
        <v>1560</v>
      </c>
    </row>
    <row r="1765" spans="1:3" x14ac:dyDescent="0.25">
      <c r="A1765" t="str">
        <f t="shared" si="63"/>
        <v>49</v>
      </c>
      <c r="B1765" t="str">
        <f>"49.0101"</f>
        <v>49.0101</v>
      </c>
      <c r="C1765" t="s">
        <v>1561</v>
      </c>
    </row>
    <row r="1766" spans="1:3" x14ac:dyDescent="0.25">
      <c r="A1766" t="str">
        <f t="shared" si="63"/>
        <v>49</v>
      </c>
      <c r="B1766" t="str">
        <f>"49.0102"</f>
        <v>49.0102</v>
      </c>
      <c r="C1766" t="s">
        <v>1562</v>
      </c>
    </row>
    <row r="1767" spans="1:3" x14ac:dyDescent="0.25">
      <c r="A1767" t="str">
        <f t="shared" si="63"/>
        <v>49</v>
      </c>
      <c r="B1767" t="str">
        <f>"49.0104"</f>
        <v>49.0104</v>
      </c>
      <c r="C1767" t="s">
        <v>1563</v>
      </c>
    </row>
    <row r="1768" spans="1:3" x14ac:dyDescent="0.25">
      <c r="A1768" t="str">
        <f t="shared" si="63"/>
        <v>49</v>
      </c>
      <c r="B1768" t="str">
        <f>"49.0105"</f>
        <v>49.0105</v>
      </c>
      <c r="C1768" t="s">
        <v>1564</v>
      </c>
    </row>
    <row r="1769" spans="1:3" x14ac:dyDescent="0.25">
      <c r="A1769" t="str">
        <f t="shared" si="63"/>
        <v>49</v>
      </c>
      <c r="B1769" t="str">
        <f>"49.0106"</f>
        <v>49.0106</v>
      </c>
      <c r="C1769" t="s">
        <v>1565</v>
      </c>
    </row>
    <row r="1770" spans="1:3" x14ac:dyDescent="0.25">
      <c r="A1770" t="str">
        <f t="shared" si="63"/>
        <v>49</v>
      </c>
      <c r="B1770" t="str">
        <f>"49.0108"</f>
        <v>49.0108</v>
      </c>
      <c r="C1770" t="s">
        <v>1566</v>
      </c>
    </row>
    <row r="1771" spans="1:3" x14ac:dyDescent="0.25">
      <c r="A1771" t="str">
        <f t="shared" si="63"/>
        <v>49</v>
      </c>
      <c r="B1771" t="str">
        <f>"49.0109"</f>
        <v>49.0109</v>
      </c>
      <c r="C1771" t="s">
        <v>1567</v>
      </c>
    </row>
    <row r="1772" spans="1:3" x14ac:dyDescent="0.25">
      <c r="A1772" t="str">
        <f t="shared" si="63"/>
        <v>49</v>
      </c>
      <c r="B1772" t="str">
        <f>"49.0199"</f>
        <v>49.0199</v>
      </c>
      <c r="C1772" t="s">
        <v>1568</v>
      </c>
    </row>
    <row r="1773" spans="1:3" x14ac:dyDescent="0.25">
      <c r="A1773" t="str">
        <f t="shared" si="63"/>
        <v>49</v>
      </c>
      <c r="B1773" t="str">
        <f>"49.02"</f>
        <v>49.02</v>
      </c>
      <c r="C1773" t="s">
        <v>1569</v>
      </c>
    </row>
    <row r="1774" spans="1:3" x14ac:dyDescent="0.25">
      <c r="A1774" t="str">
        <f t="shared" si="63"/>
        <v>49</v>
      </c>
      <c r="B1774" t="str">
        <f>"49.0202"</f>
        <v>49.0202</v>
      </c>
      <c r="C1774" t="s">
        <v>1570</v>
      </c>
    </row>
    <row r="1775" spans="1:3" x14ac:dyDescent="0.25">
      <c r="A1775" t="str">
        <f t="shared" si="63"/>
        <v>49</v>
      </c>
      <c r="B1775" t="str">
        <f>"49.0205"</f>
        <v>49.0205</v>
      </c>
      <c r="C1775" t="s">
        <v>1571</v>
      </c>
    </row>
    <row r="1776" spans="1:3" x14ac:dyDescent="0.25">
      <c r="A1776" t="str">
        <f t="shared" si="63"/>
        <v>49</v>
      </c>
      <c r="B1776" t="str">
        <f>"49.0206"</f>
        <v>49.0206</v>
      </c>
      <c r="C1776" t="s">
        <v>1572</v>
      </c>
    </row>
    <row r="1777" spans="1:3" x14ac:dyDescent="0.25">
      <c r="A1777" t="str">
        <f t="shared" si="63"/>
        <v>49</v>
      </c>
      <c r="B1777" t="str">
        <f>"49.0207"</f>
        <v>49.0207</v>
      </c>
      <c r="C1777" t="s">
        <v>1573</v>
      </c>
    </row>
    <row r="1778" spans="1:3" x14ac:dyDescent="0.25">
      <c r="A1778" t="str">
        <f t="shared" si="63"/>
        <v>49</v>
      </c>
      <c r="B1778" t="str">
        <f>"49.0208"</f>
        <v>49.0208</v>
      </c>
      <c r="C1778" t="s">
        <v>1574</v>
      </c>
    </row>
    <row r="1779" spans="1:3" x14ac:dyDescent="0.25">
      <c r="A1779" t="str">
        <f t="shared" si="63"/>
        <v>49</v>
      </c>
      <c r="B1779" t="str">
        <f>"49.0209"</f>
        <v>49.0209</v>
      </c>
      <c r="C1779" t="s">
        <v>1575</v>
      </c>
    </row>
    <row r="1780" spans="1:3" x14ac:dyDescent="0.25">
      <c r="A1780" t="str">
        <f t="shared" si="63"/>
        <v>49</v>
      </c>
      <c r="B1780" t="str">
        <f>"49.0299"</f>
        <v>49.0299</v>
      </c>
      <c r="C1780" t="s">
        <v>1576</v>
      </c>
    </row>
    <row r="1781" spans="1:3" x14ac:dyDescent="0.25">
      <c r="A1781" t="str">
        <f t="shared" si="63"/>
        <v>49</v>
      </c>
      <c r="B1781" t="str">
        <f>"49.03"</f>
        <v>49.03</v>
      </c>
      <c r="C1781" t="s">
        <v>1577</v>
      </c>
    </row>
    <row r="1782" spans="1:3" x14ac:dyDescent="0.25">
      <c r="A1782" t="str">
        <f t="shared" si="63"/>
        <v>49</v>
      </c>
      <c r="B1782" t="str">
        <f>"49.0303"</f>
        <v>49.0303</v>
      </c>
      <c r="C1782" t="s">
        <v>1578</v>
      </c>
    </row>
    <row r="1783" spans="1:3" x14ac:dyDescent="0.25">
      <c r="A1783" t="str">
        <f t="shared" si="63"/>
        <v>49</v>
      </c>
      <c r="B1783" t="str">
        <f>"49.0304"</f>
        <v>49.0304</v>
      </c>
      <c r="C1783" t="s">
        <v>1579</v>
      </c>
    </row>
    <row r="1784" spans="1:3" x14ac:dyDescent="0.25">
      <c r="A1784" t="str">
        <f t="shared" si="63"/>
        <v>49</v>
      </c>
      <c r="B1784" t="str">
        <f>"49.0309"</f>
        <v>49.0309</v>
      </c>
      <c r="C1784" t="s">
        <v>1580</v>
      </c>
    </row>
    <row r="1785" spans="1:3" x14ac:dyDescent="0.25">
      <c r="A1785" t="str">
        <f t="shared" si="63"/>
        <v>49</v>
      </c>
      <c r="B1785" t="str">
        <f>"49.0399"</f>
        <v>49.0399</v>
      </c>
      <c r="C1785" t="s">
        <v>1581</v>
      </c>
    </row>
    <row r="1786" spans="1:3" x14ac:dyDescent="0.25">
      <c r="A1786" t="str">
        <f t="shared" si="63"/>
        <v>49</v>
      </c>
      <c r="B1786" t="str">
        <f>"49.99"</f>
        <v>49.99</v>
      </c>
      <c r="C1786" t="s">
        <v>1582</v>
      </c>
    </row>
    <row r="1787" spans="1:3" x14ac:dyDescent="0.25">
      <c r="A1787" t="str">
        <f t="shared" si="63"/>
        <v>49</v>
      </c>
      <c r="B1787" t="str">
        <f>"49.9999"</f>
        <v>49.9999</v>
      </c>
      <c r="C1787" t="s">
        <v>1582</v>
      </c>
    </row>
    <row r="1788" spans="1:3" x14ac:dyDescent="0.25">
      <c r="A1788" t="str">
        <f>"50"</f>
        <v>50</v>
      </c>
      <c r="B1788" t="str">
        <f>"50"</f>
        <v>50</v>
      </c>
      <c r="C1788" t="s">
        <v>1583</v>
      </c>
    </row>
    <row r="1789" spans="1:3" x14ac:dyDescent="0.25">
      <c r="A1789" t="str">
        <f t="shared" ref="A1789:A1820" si="64">"50"</f>
        <v>50</v>
      </c>
      <c r="B1789" t="str">
        <f>"50.01"</f>
        <v>50.01</v>
      </c>
      <c r="C1789" t="s">
        <v>1584</v>
      </c>
    </row>
    <row r="1790" spans="1:3" x14ac:dyDescent="0.25">
      <c r="A1790" t="str">
        <f t="shared" si="64"/>
        <v>50</v>
      </c>
      <c r="B1790" t="str">
        <f>"50.0101"</f>
        <v>50.0101</v>
      </c>
      <c r="C1790" t="s">
        <v>1584</v>
      </c>
    </row>
    <row r="1791" spans="1:3" x14ac:dyDescent="0.25">
      <c r="A1791" t="str">
        <f t="shared" si="64"/>
        <v>50</v>
      </c>
      <c r="B1791" t="str">
        <f>"50.0102"</f>
        <v>50.0102</v>
      </c>
      <c r="C1791" t="s">
        <v>1585</v>
      </c>
    </row>
    <row r="1792" spans="1:3" x14ac:dyDescent="0.25">
      <c r="A1792" t="str">
        <f t="shared" si="64"/>
        <v>50</v>
      </c>
      <c r="B1792" t="str">
        <f>"50.02"</f>
        <v>50.02</v>
      </c>
      <c r="C1792" t="s">
        <v>1586</v>
      </c>
    </row>
    <row r="1793" spans="1:3" x14ac:dyDescent="0.25">
      <c r="A1793" t="str">
        <f t="shared" si="64"/>
        <v>50</v>
      </c>
      <c r="B1793" t="str">
        <f>"50.0201"</f>
        <v>50.0201</v>
      </c>
      <c r="C1793" t="s">
        <v>1586</v>
      </c>
    </row>
    <row r="1794" spans="1:3" x14ac:dyDescent="0.25">
      <c r="A1794" t="str">
        <f t="shared" si="64"/>
        <v>50</v>
      </c>
      <c r="B1794" t="str">
        <f>"50.03"</f>
        <v>50.03</v>
      </c>
      <c r="C1794" t="s">
        <v>1587</v>
      </c>
    </row>
    <row r="1795" spans="1:3" x14ac:dyDescent="0.25">
      <c r="A1795" t="str">
        <f t="shared" si="64"/>
        <v>50</v>
      </c>
      <c r="B1795" t="str">
        <f>"50.0301"</f>
        <v>50.0301</v>
      </c>
      <c r="C1795" t="s">
        <v>1588</v>
      </c>
    </row>
    <row r="1796" spans="1:3" x14ac:dyDescent="0.25">
      <c r="A1796" t="str">
        <f t="shared" si="64"/>
        <v>50</v>
      </c>
      <c r="B1796" t="str">
        <f>"50.0302"</f>
        <v>50.0302</v>
      </c>
      <c r="C1796" t="s">
        <v>1589</v>
      </c>
    </row>
    <row r="1797" spans="1:3" x14ac:dyDescent="0.25">
      <c r="A1797" t="str">
        <f t="shared" si="64"/>
        <v>50</v>
      </c>
      <c r="B1797" t="str">
        <f>"50.0399"</f>
        <v>50.0399</v>
      </c>
      <c r="C1797" t="s">
        <v>1590</v>
      </c>
    </row>
    <row r="1798" spans="1:3" x14ac:dyDescent="0.25">
      <c r="A1798" t="str">
        <f t="shared" si="64"/>
        <v>50</v>
      </c>
      <c r="B1798" t="str">
        <f>"50.04"</f>
        <v>50.04</v>
      </c>
      <c r="C1798" t="s">
        <v>1591</v>
      </c>
    </row>
    <row r="1799" spans="1:3" x14ac:dyDescent="0.25">
      <c r="A1799" t="str">
        <f t="shared" si="64"/>
        <v>50</v>
      </c>
      <c r="B1799" t="str">
        <f>"50.0401"</f>
        <v>50.0401</v>
      </c>
      <c r="C1799" t="s">
        <v>1592</v>
      </c>
    </row>
    <row r="1800" spans="1:3" x14ac:dyDescent="0.25">
      <c r="A1800" t="str">
        <f t="shared" si="64"/>
        <v>50</v>
      </c>
      <c r="B1800" t="str">
        <f>"50.0402"</f>
        <v>50.0402</v>
      </c>
      <c r="C1800" t="s">
        <v>1593</v>
      </c>
    </row>
    <row r="1801" spans="1:3" x14ac:dyDescent="0.25">
      <c r="A1801" t="str">
        <f t="shared" si="64"/>
        <v>50</v>
      </c>
      <c r="B1801" t="str">
        <f>"50.0404"</f>
        <v>50.0404</v>
      </c>
      <c r="C1801" t="s">
        <v>1594</v>
      </c>
    </row>
    <row r="1802" spans="1:3" x14ac:dyDescent="0.25">
      <c r="A1802" t="str">
        <f t="shared" si="64"/>
        <v>50</v>
      </c>
      <c r="B1802" t="str">
        <f>"50.0406"</f>
        <v>50.0406</v>
      </c>
      <c r="C1802" t="s">
        <v>1595</v>
      </c>
    </row>
    <row r="1803" spans="1:3" x14ac:dyDescent="0.25">
      <c r="A1803" t="str">
        <f t="shared" si="64"/>
        <v>50</v>
      </c>
      <c r="B1803" t="str">
        <f>"50.0407"</f>
        <v>50.0407</v>
      </c>
      <c r="C1803" t="s">
        <v>1596</v>
      </c>
    </row>
    <row r="1804" spans="1:3" x14ac:dyDescent="0.25">
      <c r="A1804" t="str">
        <f t="shared" si="64"/>
        <v>50</v>
      </c>
      <c r="B1804" t="str">
        <f>"50.0408"</f>
        <v>50.0408</v>
      </c>
      <c r="C1804" t="s">
        <v>1597</v>
      </c>
    </row>
    <row r="1805" spans="1:3" x14ac:dyDescent="0.25">
      <c r="A1805" t="str">
        <f t="shared" si="64"/>
        <v>50</v>
      </c>
      <c r="B1805" t="str">
        <f>"50.0409"</f>
        <v>50.0409</v>
      </c>
      <c r="C1805" t="s">
        <v>1598</v>
      </c>
    </row>
    <row r="1806" spans="1:3" x14ac:dyDescent="0.25">
      <c r="A1806" t="str">
        <f t="shared" si="64"/>
        <v>50</v>
      </c>
      <c r="B1806" t="str">
        <f>"50.0410"</f>
        <v>50.0410</v>
      </c>
      <c r="C1806" t="s">
        <v>1599</v>
      </c>
    </row>
    <row r="1807" spans="1:3" x14ac:dyDescent="0.25">
      <c r="A1807" t="str">
        <f t="shared" si="64"/>
        <v>50</v>
      </c>
      <c r="B1807" t="str">
        <f>"50.0411"</f>
        <v>50.0411</v>
      </c>
      <c r="C1807" t="s">
        <v>1600</v>
      </c>
    </row>
    <row r="1808" spans="1:3" x14ac:dyDescent="0.25">
      <c r="A1808" t="str">
        <f t="shared" si="64"/>
        <v>50</v>
      </c>
      <c r="B1808" t="str">
        <f>"50.0499"</f>
        <v>50.0499</v>
      </c>
      <c r="C1808" t="s">
        <v>1601</v>
      </c>
    </row>
    <row r="1809" spans="1:3" x14ac:dyDescent="0.25">
      <c r="A1809" t="str">
        <f t="shared" si="64"/>
        <v>50</v>
      </c>
      <c r="B1809" t="str">
        <f>"50.05"</f>
        <v>50.05</v>
      </c>
      <c r="C1809" t="s">
        <v>1602</v>
      </c>
    </row>
    <row r="1810" spans="1:3" x14ac:dyDescent="0.25">
      <c r="A1810" t="str">
        <f t="shared" si="64"/>
        <v>50</v>
      </c>
      <c r="B1810" t="str">
        <f>"50.0501"</f>
        <v>50.0501</v>
      </c>
      <c r="C1810" t="s">
        <v>1603</v>
      </c>
    </row>
    <row r="1811" spans="1:3" x14ac:dyDescent="0.25">
      <c r="A1811" t="str">
        <f t="shared" si="64"/>
        <v>50</v>
      </c>
      <c r="B1811" t="str">
        <f>"50.0502"</f>
        <v>50.0502</v>
      </c>
      <c r="C1811" t="s">
        <v>1604</v>
      </c>
    </row>
    <row r="1812" spans="1:3" x14ac:dyDescent="0.25">
      <c r="A1812" t="str">
        <f t="shared" si="64"/>
        <v>50</v>
      </c>
      <c r="B1812" t="str">
        <f>"50.0504"</f>
        <v>50.0504</v>
      </c>
      <c r="C1812" t="s">
        <v>1605</v>
      </c>
    </row>
    <row r="1813" spans="1:3" x14ac:dyDescent="0.25">
      <c r="A1813" t="str">
        <f t="shared" si="64"/>
        <v>50</v>
      </c>
      <c r="B1813" t="str">
        <f>"50.0505"</f>
        <v>50.0505</v>
      </c>
      <c r="C1813" t="s">
        <v>1606</v>
      </c>
    </row>
    <row r="1814" spans="1:3" x14ac:dyDescent="0.25">
      <c r="A1814" t="str">
        <f t="shared" si="64"/>
        <v>50</v>
      </c>
      <c r="B1814" t="str">
        <f>"50.0506"</f>
        <v>50.0506</v>
      </c>
      <c r="C1814" t="s">
        <v>1607</v>
      </c>
    </row>
    <row r="1815" spans="1:3" x14ac:dyDescent="0.25">
      <c r="A1815" t="str">
        <f t="shared" si="64"/>
        <v>50</v>
      </c>
      <c r="B1815" t="str">
        <f>"50.0507"</f>
        <v>50.0507</v>
      </c>
      <c r="C1815" t="s">
        <v>1608</v>
      </c>
    </row>
    <row r="1816" spans="1:3" x14ac:dyDescent="0.25">
      <c r="A1816" t="str">
        <f t="shared" si="64"/>
        <v>50</v>
      </c>
      <c r="B1816" t="str">
        <f>"50.0509"</f>
        <v>50.0509</v>
      </c>
      <c r="C1816" t="s">
        <v>1609</v>
      </c>
    </row>
    <row r="1817" spans="1:3" x14ac:dyDescent="0.25">
      <c r="A1817" t="str">
        <f t="shared" si="64"/>
        <v>50</v>
      </c>
      <c r="B1817" t="str">
        <f>"50.0510"</f>
        <v>50.0510</v>
      </c>
      <c r="C1817" t="s">
        <v>1610</v>
      </c>
    </row>
    <row r="1818" spans="1:3" x14ac:dyDescent="0.25">
      <c r="A1818" t="str">
        <f t="shared" si="64"/>
        <v>50</v>
      </c>
      <c r="B1818" t="str">
        <f>"50.0511"</f>
        <v>50.0511</v>
      </c>
      <c r="C1818" t="s">
        <v>1611</v>
      </c>
    </row>
    <row r="1819" spans="1:3" x14ac:dyDescent="0.25">
      <c r="A1819" t="str">
        <f t="shared" si="64"/>
        <v>50</v>
      </c>
      <c r="B1819" t="str">
        <f>"50.0512"</f>
        <v>50.0512</v>
      </c>
      <c r="C1819" t="s">
        <v>1612</v>
      </c>
    </row>
    <row r="1820" spans="1:3" x14ac:dyDescent="0.25">
      <c r="A1820" t="str">
        <f t="shared" si="64"/>
        <v>50</v>
      </c>
      <c r="B1820" t="str">
        <f>"50.0599"</f>
        <v>50.0599</v>
      </c>
      <c r="C1820" t="s">
        <v>1613</v>
      </c>
    </row>
    <row r="1821" spans="1:3" x14ac:dyDescent="0.25">
      <c r="A1821" t="str">
        <f t="shared" ref="A1821:A1852" si="65">"50"</f>
        <v>50</v>
      </c>
      <c r="B1821" t="str">
        <f>"50.06"</f>
        <v>50.06</v>
      </c>
      <c r="C1821" t="s">
        <v>1614</v>
      </c>
    </row>
    <row r="1822" spans="1:3" x14ac:dyDescent="0.25">
      <c r="A1822" t="str">
        <f t="shared" si="65"/>
        <v>50</v>
      </c>
      <c r="B1822" t="str">
        <f>"50.0601"</f>
        <v>50.0601</v>
      </c>
      <c r="C1822" t="s">
        <v>1615</v>
      </c>
    </row>
    <row r="1823" spans="1:3" x14ac:dyDescent="0.25">
      <c r="A1823" t="str">
        <f t="shared" si="65"/>
        <v>50</v>
      </c>
      <c r="B1823" t="str">
        <f>"50.0602"</f>
        <v>50.0602</v>
      </c>
      <c r="C1823" t="s">
        <v>1616</v>
      </c>
    </row>
    <row r="1824" spans="1:3" x14ac:dyDescent="0.25">
      <c r="A1824" t="str">
        <f t="shared" si="65"/>
        <v>50</v>
      </c>
      <c r="B1824" t="str">
        <f>"50.0605"</f>
        <v>50.0605</v>
      </c>
      <c r="C1824" t="s">
        <v>1617</v>
      </c>
    </row>
    <row r="1825" spans="1:3" x14ac:dyDescent="0.25">
      <c r="A1825" t="str">
        <f t="shared" si="65"/>
        <v>50</v>
      </c>
      <c r="B1825" t="str">
        <f>"50.0607"</f>
        <v>50.0607</v>
      </c>
      <c r="C1825" t="s">
        <v>1618</v>
      </c>
    </row>
    <row r="1826" spans="1:3" x14ac:dyDescent="0.25">
      <c r="A1826" t="str">
        <f t="shared" si="65"/>
        <v>50</v>
      </c>
      <c r="B1826" t="str">
        <f>"50.0699"</f>
        <v>50.0699</v>
      </c>
      <c r="C1826" t="s">
        <v>1619</v>
      </c>
    </row>
    <row r="1827" spans="1:3" x14ac:dyDescent="0.25">
      <c r="A1827" t="str">
        <f t="shared" si="65"/>
        <v>50</v>
      </c>
      <c r="B1827" t="str">
        <f>"50.07"</f>
        <v>50.07</v>
      </c>
      <c r="C1827" t="s">
        <v>1620</v>
      </c>
    </row>
    <row r="1828" spans="1:3" x14ac:dyDescent="0.25">
      <c r="A1828" t="str">
        <f t="shared" si="65"/>
        <v>50</v>
      </c>
      <c r="B1828" t="str">
        <f>"50.0701"</f>
        <v>50.0701</v>
      </c>
      <c r="C1828" t="s">
        <v>1621</v>
      </c>
    </row>
    <row r="1829" spans="1:3" x14ac:dyDescent="0.25">
      <c r="A1829" t="str">
        <f t="shared" si="65"/>
        <v>50</v>
      </c>
      <c r="B1829" t="str">
        <f>"50.0702"</f>
        <v>50.0702</v>
      </c>
      <c r="C1829" t="s">
        <v>1622</v>
      </c>
    </row>
    <row r="1830" spans="1:3" x14ac:dyDescent="0.25">
      <c r="A1830" t="str">
        <f t="shared" si="65"/>
        <v>50</v>
      </c>
      <c r="B1830" t="str">
        <f>"50.0703"</f>
        <v>50.0703</v>
      </c>
      <c r="C1830" t="s">
        <v>1623</v>
      </c>
    </row>
    <row r="1831" spans="1:3" x14ac:dyDescent="0.25">
      <c r="A1831" t="str">
        <f t="shared" si="65"/>
        <v>50</v>
      </c>
      <c r="B1831" t="str">
        <f>"50.0705"</f>
        <v>50.0705</v>
      </c>
      <c r="C1831" t="s">
        <v>1624</v>
      </c>
    </row>
    <row r="1832" spans="1:3" x14ac:dyDescent="0.25">
      <c r="A1832" t="str">
        <f t="shared" si="65"/>
        <v>50</v>
      </c>
      <c r="B1832" t="str">
        <f>"50.0706"</f>
        <v>50.0706</v>
      </c>
      <c r="C1832" t="s">
        <v>1625</v>
      </c>
    </row>
    <row r="1833" spans="1:3" x14ac:dyDescent="0.25">
      <c r="A1833" t="str">
        <f t="shared" si="65"/>
        <v>50</v>
      </c>
      <c r="B1833" t="str">
        <f>"50.0708"</f>
        <v>50.0708</v>
      </c>
      <c r="C1833" t="s">
        <v>1626</v>
      </c>
    </row>
    <row r="1834" spans="1:3" x14ac:dyDescent="0.25">
      <c r="A1834" t="str">
        <f t="shared" si="65"/>
        <v>50</v>
      </c>
      <c r="B1834" t="str">
        <f>"50.0709"</f>
        <v>50.0709</v>
      </c>
      <c r="C1834" t="s">
        <v>1627</v>
      </c>
    </row>
    <row r="1835" spans="1:3" x14ac:dyDescent="0.25">
      <c r="A1835" t="str">
        <f t="shared" si="65"/>
        <v>50</v>
      </c>
      <c r="B1835" t="str">
        <f>"50.0710"</f>
        <v>50.0710</v>
      </c>
      <c r="C1835" t="s">
        <v>1628</v>
      </c>
    </row>
    <row r="1836" spans="1:3" x14ac:dyDescent="0.25">
      <c r="A1836" t="str">
        <f t="shared" si="65"/>
        <v>50</v>
      </c>
      <c r="B1836" t="str">
        <f>"50.0711"</f>
        <v>50.0711</v>
      </c>
      <c r="C1836" t="s">
        <v>1629</v>
      </c>
    </row>
    <row r="1837" spans="1:3" x14ac:dyDescent="0.25">
      <c r="A1837" t="str">
        <f t="shared" si="65"/>
        <v>50</v>
      </c>
      <c r="B1837" t="str">
        <f>"50.0712"</f>
        <v>50.0712</v>
      </c>
      <c r="C1837" t="s">
        <v>1630</v>
      </c>
    </row>
    <row r="1838" spans="1:3" x14ac:dyDescent="0.25">
      <c r="A1838" t="str">
        <f t="shared" si="65"/>
        <v>50</v>
      </c>
      <c r="B1838" t="str">
        <f>"50.0713"</f>
        <v>50.0713</v>
      </c>
      <c r="C1838" t="s">
        <v>1631</v>
      </c>
    </row>
    <row r="1839" spans="1:3" x14ac:dyDescent="0.25">
      <c r="A1839" t="str">
        <f t="shared" si="65"/>
        <v>50</v>
      </c>
      <c r="B1839" t="str">
        <f>"50.0714"</f>
        <v>50.0714</v>
      </c>
      <c r="C1839" t="s">
        <v>1632</v>
      </c>
    </row>
    <row r="1840" spans="1:3" x14ac:dyDescent="0.25">
      <c r="A1840" t="str">
        <f t="shared" si="65"/>
        <v>50</v>
      </c>
      <c r="B1840" t="str">
        <f>"50.0799"</f>
        <v>50.0799</v>
      </c>
      <c r="C1840" t="s">
        <v>1633</v>
      </c>
    </row>
    <row r="1841" spans="1:3" x14ac:dyDescent="0.25">
      <c r="A1841" t="str">
        <f t="shared" si="65"/>
        <v>50</v>
      </c>
      <c r="B1841" t="str">
        <f>"50.09"</f>
        <v>50.09</v>
      </c>
      <c r="C1841" t="s">
        <v>1172</v>
      </c>
    </row>
    <row r="1842" spans="1:3" x14ac:dyDescent="0.25">
      <c r="A1842" t="str">
        <f t="shared" si="65"/>
        <v>50</v>
      </c>
      <c r="B1842" t="str">
        <f>"50.0901"</f>
        <v>50.0901</v>
      </c>
      <c r="C1842" t="s">
        <v>1634</v>
      </c>
    </row>
    <row r="1843" spans="1:3" x14ac:dyDescent="0.25">
      <c r="A1843" t="str">
        <f t="shared" si="65"/>
        <v>50</v>
      </c>
      <c r="B1843" t="str">
        <f>"50.0902"</f>
        <v>50.0902</v>
      </c>
      <c r="C1843" t="s">
        <v>1635</v>
      </c>
    </row>
    <row r="1844" spans="1:3" x14ac:dyDescent="0.25">
      <c r="A1844" t="str">
        <f t="shared" si="65"/>
        <v>50</v>
      </c>
      <c r="B1844" t="str">
        <f>"50.0903"</f>
        <v>50.0903</v>
      </c>
      <c r="C1844" t="s">
        <v>1636</v>
      </c>
    </row>
    <row r="1845" spans="1:3" x14ac:dyDescent="0.25">
      <c r="A1845" t="str">
        <f t="shared" si="65"/>
        <v>50</v>
      </c>
      <c r="B1845" t="str">
        <f>"50.0904"</f>
        <v>50.0904</v>
      </c>
      <c r="C1845" t="s">
        <v>1637</v>
      </c>
    </row>
    <row r="1846" spans="1:3" x14ac:dyDescent="0.25">
      <c r="A1846" t="str">
        <f t="shared" si="65"/>
        <v>50</v>
      </c>
      <c r="B1846" t="str">
        <f>"50.0905"</f>
        <v>50.0905</v>
      </c>
      <c r="C1846" t="s">
        <v>1638</v>
      </c>
    </row>
    <row r="1847" spans="1:3" x14ac:dyDescent="0.25">
      <c r="A1847" t="str">
        <f t="shared" si="65"/>
        <v>50</v>
      </c>
      <c r="B1847" t="str">
        <f>"50.0906"</f>
        <v>50.0906</v>
      </c>
      <c r="C1847" t="s">
        <v>1639</v>
      </c>
    </row>
    <row r="1848" spans="1:3" x14ac:dyDescent="0.25">
      <c r="A1848" t="str">
        <f t="shared" si="65"/>
        <v>50</v>
      </c>
      <c r="B1848" t="str">
        <f>"50.0907"</f>
        <v>50.0907</v>
      </c>
      <c r="C1848" t="s">
        <v>1640</v>
      </c>
    </row>
    <row r="1849" spans="1:3" x14ac:dyDescent="0.25">
      <c r="A1849" t="str">
        <f t="shared" si="65"/>
        <v>50</v>
      </c>
      <c r="B1849" t="str">
        <f>"50.0908"</f>
        <v>50.0908</v>
      </c>
      <c r="C1849" t="s">
        <v>1641</v>
      </c>
    </row>
    <row r="1850" spans="1:3" x14ac:dyDescent="0.25">
      <c r="A1850" t="str">
        <f t="shared" si="65"/>
        <v>50</v>
      </c>
      <c r="B1850" t="str">
        <f>"50.0910"</f>
        <v>50.0910</v>
      </c>
      <c r="C1850" t="s">
        <v>1642</v>
      </c>
    </row>
    <row r="1851" spans="1:3" x14ac:dyDescent="0.25">
      <c r="A1851" t="str">
        <f t="shared" si="65"/>
        <v>50</v>
      </c>
      <c r="B1851" t="str">
        <f>"50.0911"</f>
        <v>50.0911</v>
      </c>
      <c r="C1851" t="s">
        <v>1643</v>
      </c>
    </row>
    <row r="1852" spans="1:3" x14ac:dyDescent="0.25">
      <c r="A1852" t="str">
        <f t="shared" si="65"/>
        <v>50</v>
      </c>
      <c r="B1852" t="str">
        <f>"50.0912"</f>
        <v>50.0912</v>
      </c>
      <c r="C1852" t="s">
        <v>1644</v>
      </c>
    </row>
    <row r="1853" spans="1:3" x14ac:dyDescent="0.25">
      <c r="A1853" t="str">
        <f t="shared" ref="A1853:A1868" si="66">"50"</f>
        <v>50</v>
      </c>
      <c r="B1853" t="str">
        <f>"50.0913"</f>
        <v>50.0913</v>
      </c>
      <c r="C1853" t="s">
        <v>1645</v>
      </c>
    </row>
    <row r="1854" spans="1:3" x14ac:dyDescent="0.25">
      <c r="A1854" t="str">
        <f t="shared" si="66"/>
        <v>50</v>
      </c>
      <c r="B1854" t="str">
        <f>"50.0914"</f>
        <v>50.0914</v>
      </c>
      <c r="C1854" t="s">
        <v>1646</v>
      </c>
    </row>
    <row r="1855" spans="1:3" x14ac:dyDescent="0.25">
      <c r="A1855" t="str">
        <f t="shared" si="66"/>
        <v>50</v>
      </c>
      <c r="B1855" t="str">
        <f>"50.0915"</f>
        <v>50.0915</v>
      </c>
      <c r="C1855" t="s">
        <v>1647</v>
      </c>
    </row>
    <row r="1856" spans="1:3" x14ac:dyDescent="0.25">
      <c r="A1856" t="str">
        <f t="shared" si="66"/>
        <v>50</v>
      </c>
      <c r="B1856" t="str">
        <f>"50.0916"</f>
        <v>50.0916</v>
      </c>
      <c r="C1856" t="s">
        <v>1648</v>
      </c>
    </row>
    <row r="1857" spans="1:3" x14ac:dyDescent="0.25">
      <c r="A1857" t="str">
        <f t="shared" si="66"/>
        <v>50</v>
      </c>
      <c r="B1857" t="str">
        <f>"50.0917"</f>
        <v>50.0917</v>
      </c>
      <c r="C1857" t="s">
        <v>1649</v>
      </c>
    </row>
    <row r="1858" spans="1:3" x14ac:dyDescent="0.25">
      <c r="A1858" t="str">
        <f t="shared" si="66"/>
        <v>50</v>
      </c>
      <c r="B1858" t="str">
        <f>"50.0999"</f>
        <v>50.0999</v>
      </c>
      <c r="C1858" t="s">
        <v>1650</v>
      </c>
    </row>
    <row r="1859" spans="1:3" x14ac:dyDescent="0.25">
      <c r="A1859" t="str">
        <f t="shared" si="66"/>
        <v>50</v>
      </c>
      <c r="B1859" t="str">
        <f>"50.10"</f>
        <v>50.10</v>
      </c>
      <c r="C1859" t="s">
        <v>1651</v>
      </c>
    </row>
    <row r="1860" spans="1:3" x14ac:dyDescent="0.25">
      <c r="A1860" t="str">
        <f t="shared" si="66"/>
        <v>50</v>
      </c>
      <c r="B1860" t="str">
        <f>"50.1001"</f>
        <v>50.1001</v>
      </c>
      <c r="C1860" t="s">
        <v>1652</v>
      </c>
    </row>
    <row r="1861" spans="1:3" x14ac:dyDescent="0.25">
      <c r="A1861" t="str">
        <f t="shared" si="66"/>
        <v>50</v>
      </c>
      <c r="B1861" t="str">
        <f>"50.1002"</f>
        <v>50.1002</v>
      </c>
      <c r="C1861" t="s">
        <v>1653</v>
      </c>
    </row>
    <row r="1862" spans="1:3" x14ac:dyDescent="0.25">
      <c r="A1862" t="str">
        <f t="shared" si="66"/>
        <v>50</v>
      </c>
      <c r="B1862" t="str">
        <f>"50.1003"</f>
        <v>50.1003</v>
      </c>
      <c r="C1862" t="s">
        <v>1654</v>
      </c>
    </row>
    <row r="1863" spans="1:3" x14ac:dyDescent="0.25">
      <c r="A1863" t="str">
        <f t="shared" si="66"/>
        <v>50</v>
      </c>
      <c r="B1863" t="str">
        <f>"50.1004"</f>
        <v>50.1004</v>
      </c>
      <c r="C1863" t="s">
        <v>1655</v>
      </c>
    </row>
    <row r="1864" spans="1:3" x14ac:dyDescent="0.25">
      <c r="A1864" t="str">
        <f t="shared" si="66"/>
        <v>50</v>
      </c>
      <c r="B1864" t="str">
        <f>"50.1099"</f>
        <v>50.1099</v>
      </c>
      <c r="C1864" t="s">
        <v>1656</v>
      </c>
    </row>
    <row r="1865" spans="1:3" x14ac:dyDescent="0.25">
      <c r="A1865" t="str">
        <f t="shared" si="66"/>
        <v>50</v>
      </c>
      <c r="B1865" t="str">
        <f>"50.11"</f>
        <v>50.11</v>
      </c>
      <c r="C1865" t="s">
        <v>1657</v>
      </c>
    </row>
    <row r="1866" spans="1:3" x14ac:dyDescent="0.25">
      <c r="A1866" t="str">
        <f t="shared" si="66"/>
        <v>50</v>
      </c>
      <c r="B1866" t="str">
        <f>"50.1101"</f>
        <v>50.1101</v>
      </c>
      <c r="C1866" t="s">
        <v>1657</v>
      </c>
    </row>
    <row r="1867" spans="1:3" x14ac:dyDescent="0.25">
      <c r="A1867" t="str">
        <f t="shared" si="66"/>
        <v>50</v>
      </c>
      <c r="B1867" t="str">
        <f>"50.99"</f>
        <v>50.99</v>
      </c>
      <c r="C1867" t="s">
        <v>1658</v>
      </c>
    </row>
    <row r="1868" spans="1:3" x14ac:dyDescent="0.25">
      <c r="A1868" t="str">
        <f t="shared" si="66"/>
        <v>50</v>
      </c>
      <c r="B1868" t="str">
        <f>"50.9999"</f>
        <v>50.9999</v>
      </c>
      <c r="C1868" t="s">
        <v>1658</v>
      </c>
    </row>
    <row r="1869" spans="1:3" x14ac:dyDescent="0.25">
      <c r="A1869" t="str">
        <f>"51"</f>
        <v>51</v>
      </c>
      <c r="B1869" t="str">
        <f>"51"</f>
        <v>51</v>
      </c>
      <c r="C1869" t="s">
        <v>1659</v>
      </c>
    </row>
    <row r="1870" spans="1:3" x14ac:dyDescent="0.25">
      <c r="A1870" t="str">
        <f t="shared" ref="A1870:A1933" si="67">"51"</f>
        <v>51</v>
      </c>
      <c r="B1870" t="str">
        <f>"51.00"</f>
        <v>51.00</v>
      </c>
      <c r="C1870" t="s">
        <v>1660</v>
      </c>
    </row>
    <row r="1871" spans="1:3" x14ac:dyDescent="0.25">
      <c r="A1871" t="str">
        <f t="shared" si="67"/>
        <v>51</v>
      </c>
      <c r="B1871" t="str">
        <f>"51.0000"</f>
        <v>51.0000</v>
      </c>
      <c r="C1871" t="s">
        <v>1660</v>
      </c>
    </row>
    <row r="1872" spans="1:3" x14ac:dyDescent="0.25">
      <c r="A1872" t="str">
        <f t="shared" si="67"/>
        <v>51</v>
      </c>
      <c r="B1872" t="str">
        <f>"51.0001"</f>
        <v>51.0001</v>
      </c>
      <c r="C1872" t="s">
        <v>1661</v>
      </c>
    </row>
    <row r="1873" spans="1:3" x14ac:dyDescent="0.25">
      <c r="A1873" t="str">
        <f t="shared" si="67"/>
        <v>51</v>
      </c>
      <c r="B1873" t="str">
        <f>"51.01"</f>
        <v>51.01</v>
      </c>
      <c r="C1873" t="s">
        <v>1662</v>
      </c>
    </row>
    <row r="1874" spans="1:3" x14ac:dyDescent="0.25">
      <c r="A1874" t="str">
        <f t="shared" si="67"/>
        <v>51</v>
      </c>
      <c r="B1874" t="str">
        <f>"51.0101"</f>
        <v>51.0101</v>
      </c>
      <c r="C1874" t="s">
        <v>1662</v>
      </c>
    </row>
    <row r="1875" spans="1:3" x14ac:dyDescent="0.25">
      <c r="A1875" t="str">
        <f t="shared" si="67"/>
        <v>51</v>
      </c>
      <c r="B1875" t="str">
        <f>"51.02"</f>
        <v>51.02</v>
      </c>
      <c r="C1875" t="s">
        <v>1663</v>
      </c>
    </row>
    <row r="1876" spans="1:3" x14ac:dyDescent="0.25">
      <c r="A1876" t="str">
        <f t="shared" si="67"/>
        <v>51</v>
      </c>
      <c r="B1876" t="str">
        <f>"51.0201"</f>
        <v>51.0201</v>
      </c>
      <c r="C1876" t="s">
        <v>1664</v>
      </c>
    </row>
    <row r="1877" spans="1:3" x14ac:dyDescent="0.25">
      <c r="A1877" t="str">
        <f t="shared" si="67"/>
        <v>51</v>
      </c>
      <c r="B1877" t="str">
        <f>"51.0202"</f>
        <v>51.0202</v>
      </c>
      <c r="C1877" t="s">
        <v>1665</v>
      </c>
    </row>
    <row r="1878" spans="1:3" x14ac:dyDescent="0.25">
      <c r="A1878" t="str">
        <f t="shared" si="67"/>
        <v>51</v>
      </c>
      <c r="B1878" t="str">
        <f>"51.0203"</f>
        <v>51.0203</v>
      </c>
      <c r="C1878" t="s">
        <v>1666</v>
      </c>
    </row>
    <row r="1879" spans="1:3" x14ac:dyDescent="0.25">
      <c r="A1879" t="str">
        <f t="shared" si="67"/>
        <v>51</v>
      </c>
      <c r="B1879" t="str">
        <f>"51.0204"</f>
        <v>51.0204</v>
      </c>
      <c r="C1879" t="s">
        <v>1667</v>
      </c>
    </row>
    <row r="1880" spans="1:3" x14ac:dyDescent="0.25">
      <c r="A1880" t="str">
        <f t="shared" si="67"/>
        <v>51</v>
      </c>
      <c r="B1880" t="str">
        <f>"51.0299"</f>
        <v>51.0299</v>
      </c>
      <c r="C1880" t="s">
        <v>1668</v>
      </c>
    </row>
    <row r="1881" spans="1:3" x14ac:dyDescent="0.25">
      <c r="A1881" t="str">
        <f t="shared" si="67"/>
        <v>51</v>
      </c>
      <c r="B1881" t="str">
        <f>"51.04"</f>
        <v>51.04</v>
      </c>
      <c r="C1881" t="s">
        <v>1669</v>
      </c>
    </row>
    <row r="1882" spans="1:3" x14ac:dyDescent="0.25">
      <c r="A1882" t="str">
        <f t="shared" si="67"/>
        <v>51</v>
      </c>
      <c r="B1882" t="str">
        <f>"51.0401"</f>
        <v>51.0401</v>
      </c>
      <c r="C1882" t="s">
        <v>1669</v>
      </c>
    </row>
    <row r="1883" spans="1:3" x14ac:dyDescent="0.25">
      <c r="A1883" t="str">
        <f t="shared" si="67"/>
        <v>51</v>
      </c>
      <c r="B1883" t="str">
        <f>"51.05"</f>
        <v>51.05</v>
      </c>
      <c r="C1883" t="s">
        <v>1670</v>
      </c>
    </row>
    <row r="1884" spans="1:3" x14ac:dyDescent="0.25">
      <c r="A1884" t="str">
        <f t="shared" si="67"/>
        <v>51</v>
      </c>
      <c r="B1884" t="str">
        <f>"51.0501"</f>
        <v>51.0501</v>
      </c>
      <c r="C1884" t="s">
        <v>1671</v>
      </c>
    </row>
    <row r="1885" spans="1:3" x14ac:dyDescent="0.25">
      <c r="A1885" t="str">
        <f t="shared" si="67"/>
        <v>51</v>
      </c>
      <c r="B1885" t="str">
        <f>"51.0502"</f>
        <v>51.0502</v>
      </c>
      <c r="C1885" t="s">
        <v>1672</v>
      </c>
    </row>
    <row r="1886" spans="1:3" x14ac:dyDescent="0.25">
      <c r="A1886" t="str">
        <f t="shared" si="67"/>
        <v>51</v>
      </c>
      <c r="B1886" t="str">
        <f>"51.0503"</f>
        <v>51.0503</v>
      </c>
      <c r="C1886" t="s">
        <v>1673</v>
      </c>
    </row>
    <row r="1887" spans="1:3" x14ac:dyDescent="0.25">
      <c r="A1887" t="str">
        <f t="shared" si="67"/>
        <v>51</v>
      </c>
      <c r="B1887" t="str">
        <f>"51.0504"</f>
        <v>51.0504</v>
      </c>
      <c r="C1887" t="s">
        <v>1674</v>
      </c>
    </row>
    <row r="1888" spans="1:3" x14ac:dyDescent="0.25">
      <c r="A1888" t="str">
        <f t="shared" si="67"/>
        <v>51</v>
      </c>
      <c r="B1888" t="str">
        <f>"51.0505"</f>
        <v>51.0505</v>
      </c>
      <c r="C1888" t="s">
        <v>1675</v>
      </c>
    </row>
    <row r="1889" spans="1:3" x14ac:dyDescent="0.25">
      <c r="A1889" t="str">
        <f t="shared" si="67"/>
        <v>51</v>
      </c>
      <c r="B1889" t="str">
        <f>"51.0506"</f>
        <v>51.0506</v>
      </c>
      <c r="C1889" t="s">
        <v>1676</v>
      </c>
    </row>
    <row r="1890" spans="1:3" x14ac:dyDescent="0.25">
      <c r="A1890" t="str">
        <f t="shared" si="67"/>
        <v>51</v>
      </c>
      <c r="B1890" t="str">
        <f>"51.0507"</f>
        <v>51.0507</v>
      </c>
      <c r="C1890" t="s">
        <v>1677</v>
      </c>
    </row>
    <row r="1891" spans="1:3" x14ac:dyDescent="0.25">
      <c r="A1891" t="str">
        <f t="shared" si="67"/>
        <v>51</v>
      </c>
      <c r="B1891" t="str">
        <f>"51.0508"</f>
        <v>51.0508</v>
      </c>
      <c r="C1891" t="s">
        <v>1678</v>
      </c>
    </row>
    <row r="1892" spans="1:3" x14ac:dyDescent="0.25">
      <c r="A1892" t="str">
        <f t="shared" si="67"/>
        <v>51</v>
      </c>
      <c r="B1892" t="str">
        <f>"51.0509"</f>
        <v>51.0509</v>
      </c>
      <c r="C1892" t="s">
        <v>1679</v>
      </c>
    </row>
    <row r="1893" spans="1:3" x14ac:dyDescent="0.25">
      <c r="A1893" t="str">
        <f t="shared" si="67"/>
        <v>51</v>
      </c>
      <c r="B1893" t="str">
        <f>"51.0510"</f>
        <v>51.0510</v>
      </c>
      <c r="C1893" t="s">
        <v>1680</v>
      </c>
    </row>
    <row r="1894" spans="1:3" x14ac:dyDescent="0.25">
      <c r="A1894" t="str">
        <f t="shared" si="67"/>
        <v>51</v>
      </c>
      <c r="B1894" t="str">
        <f>"51.0511"</f>
        <v>51.0511</v>
      </c>
      <c r="C1894" t="s">
        <v>1681</v>
      </c>
    </row>
    <row r="1895" spans="1:3" x14ac:dyDescent="0.25">
      <c r="A1895" t="str">
        <f t="shared" si="67"/>
        <v>51</v>
      </c>
      <c r="B1895" t="str">
        <f>"51.0512"</f>
        <v>51.0512</v>
      </c>
      <c r="C1895" t="s">
        <v>1682</v>
      </c>
    </row>
    <row r="1896" spans="1:3" x14ac:dyDescent="0.25">
      <c r="A1896" t="str">
        <f t="shared" si="67"/>
        <v>51</v>
      </c>
      <c r="B1896" t="str">
        <f>"51.0513"</f>
        <v>51.0513</v>
      </c>
      <c r="C1896" t="s">
        <v>1683</v>
      </c>
    </row>
    <row r="1897" spans="1:3" x14ac:dyDescent="0.25">
      <c r="A1897" t="str">
        <f t="shared" si="67"/>
        <v>51</v>
      </c>
      <c r="B1897" t="str">
        <f>"51.0514"</f>
        <v>51.0514</v>
      </c>
      <c r="C1897" t="s">
        <v>1684</v>
      </c>
    </row>
    <row r="1898" spans="1:3" x14ac:dyDescent="0.25">
      <c r="A1898" t="str">
        <f t="shared" si="67"/>
        <v>51</v>
      </c>
      <c r="B1898" t="str">
        <f>"51.0599"</f>
        <v>51.0599</v>
      </c>
      <c r="C1898" t="s">
        <v>1685</v>
      </c>
    </row>
    <row r="1899" spans="1:3" x14ac:dyDescent="0.25">
      <c r="A1899" t="str">
        <f t="shared" si="67"/>
        <v>51</v>
      </c>
      <c r="B1899" t="str">
        <f>"51.06"</f>
        <v>51.06</v>
      </c>
      <c r="C1899" t="s">
        <v>1686</v>
      </c>
    </row>
    <row r="1900" spans="1:3" x14ac:dyDescent="0.25">
      <c r="A1900" t="str">
        <f t="shared" si="67"/>
        <v>51</v>
      </c>
      <c r="B1900" t="str">
        <f>"51.0601"</f>
        <v>51.0601</v>
      </c>
      <c r="C1900" t="s">
        <v>1687</v>
      </c>
    </row>
    <row r="1901" spans="1:3" x14ac:dyDescent="0.25">
      <c r="A1901" t="str">
        <f t="shared" si="67"/>
        <v>51</v>
      </c>
      <c r="B1901" t="str">
        <f>"51.0602"</f>
        <v>51.0602</v>
      </c>
      <c r="C1901" t="s">
        <v>1688</v>
      </c>
    </row>
    <row r="1902" spans="1:3" x14ac:dyDescent="0.25">
      <c r="A1902" t="str">
        <f t="shared" si="67"/>
        <v>51</v>
      </c>
      <c r="B1902" t="str">
        <f>"51.0603"</f>
        <v>51.0603</v>
      </c>
      <c r="C1902" t="s">
        <v>1689</v>
      </c>
    </row>
    <row r="1903" spans="1:3" x14ac:dyDescent="0.25">
      <c r="A1903" t="str">
        <f t="shared" si="67"/>
        <v>51</v>
      </c>
      <c r="B1903" t="str">
        <f>"51.0699"</f>
        <v>51.0699</v>
      </c>
      <c r="C1903" t="s">
        <v>1690</v>
      </c>
    </row>
    <row r="1904" spans="1:3" x14ac:dyDescent="0.25">
      <c r="A1904" t="str">
        <f t="shared" si="67"/>
        <v>51</v>
      </c>
      <c r="B1904" t="str">
        <f>"51.07"</f>
        <v>51.07</v>
      </c>
      <c r="C1904" t="s">
        <v>1691</v>
      </c>
    </row>
    <row r="1905" spans="1:3" x14ac:dyDescent="0.25">
      <c r="A1905" t="str">
        <f t="shared" si="67"/>
        <v>51</v>
      </c>
      <c r="B1905" t="str">
        <f>"51.0701"</f>
        <v>51.0701</v>
      </c>
      <c r="C1905" t="s">
        <v>1692</v>
      </c>
    </row>
    <row r="1906" spans="1:3" x14ac:dyDescent="0.25">
      <c r="A1906" t="str">
        <f t="shared" si="67"/>
        <v>51</v>
      </c>
      <c r="B1906" t="str">
        <f>"51.0702"</f>
        <v>51.0702</v>
      </c>
      <c r="C1906" t="s">
        <v>1693</v>
      </c>
    </row>
    <row r="1907" spans="1:3" x14ac:dyDescent="0.25">
      <c r="A1907" t="str">
        <f t="shared" si="67"/>
        <v>51</v>
      </c>
      <c r="B1907" t="str">
        <f>"51.0703"</f>
        <v>51.0703</v>
      </c>
      <c r="C1907" t="s">
        <v>1694</v>
      </c>
    </row>
    <row r="1908" spans="1:3" x14ac:dyDescent="0.25">
      <c r="A1908" t="str">
        <f t="shared" si="67"/>
        <v>51</v>
      </c>
      <c r="B1908" t="str">
        <f>"51.0704"</f>
        <v>51.0704</v>
      </c>
      <c r="C1908" t="s">
        <v>1695</v>
      </c>
    </row>
    <row r="1909" spans="1:3" x14ac:dyDescent="0.25">
      <c r="A1909" t="str">
        <f t="shared" si="67"/>
        <v>51</v>
      </c>
      <c r="B1909" t="str">
        <f>"51.0705"</f>
        <v>51.0705</v>
      </c>
      <c r="C1909" t="s">
        <v>1696</v>
      </c>
    </row>
    <row r="1910" spans="1:3" x14ac:dyDescent="0.25">
      <c r="A1910" t="str">
        <f t="shared" si="67"/>
        <v>51</v>
      </c>
      <c r="B1910" t="str">
        <f>"51.0706"</f>
        <v>51.0706</v>
      </c>
      <c r="C1910" t="s">
        <v>1697</v>
      </c>
    </row>
    <row r="1911" spans="1:3" x14ac:dyDescent="0.25">
      <c r="A1911" t="str">
        <f t="shared" si="67"/>
        <v>51</v>
      </c>
      <c r="B1911" t="str">
        <f>"51.0707"</f>
        <v>51.0707</v>
      </c>
      <c r="C1911" t="s">
        <v>1698</v>
      </c>
    </row>
    <row r="1912" spans="1:3" x14ac:dyDescent="0.25">
      <c r="A1912" t="str">
        <f t="shared" si="67"/>
        <v>51</v>
      </c>
      <c r="B1912" t="str">
        <f>"51.0708"</f>
        <v>51.0708</v>
      </c>
      <c r="C1912" t="s">
        <v>1699</v>
      </c>
    </row>
    <row r="1913" spans="1:3" x14ac:dyDescent="0.25">
      <c r="A1913" t="str">
        <f t="shared" si="67"/>
        <v>51</v>
      </c>
      <c r="B1913" t="str">
        <f>"51.0709"</f>
        <v>51.0709</v>
      </c>
      <c r="C1913" t="s">
        <v>1700</v>
      </c>
    </row>
    <row r="1914" spans="1:3" x14ac:dyDescent="0.25">
      <c r="A1914" t="str">
        <f t="shared" si="67"/>
        <v>51</v>
      </c>
      <c r="B1914" t="str">
        <f>"51.0710"</f>
        <v>51.0710</v>
      </c>
      <c r="C1914" t="s">
        <v>1701</v>
      </c>
    </row>
    <row r="1915" spans="1:3" x14ac:dyDescent="0.25">
      <c r="A1915" t="str">
        <f t="shared" si="67"/>
        <v>51</v>
      </c>
      <c r="B1915" t="str">
        <f>"51.0711"</f>
        <v>51.0711</v>
      </c>
      <c r="C1915" t="s">
        <v>1702</v>
      </c>
    </row>
    <row r="1916" spans="1:3" x14ac:dyDescent="0.25">
      <c r="A1916" t="str">
        <f t="shared" si="67"/>
        <v>51</v>
      </c>
      <c r="B1916" t="str">
        <f>"51.0712"</f>
        <v>51.0712</v>
      </c>
      <c r="C1916" t="s">
        <v>1703</v>
      </c>
    </row>
    <row r="1917" spans="1:3" x14ac:dyDescent="0.25">
      <c r="A1917" t="str">
        <f t="shared" si="67"/>
        <v>51</v>
      </c>
      <c r="B1917" t="str">
        <f>"51.0713"</f>
        <v>51.0713</v>
      </c>
      <c r="C1917" t="s">
        <v>1704</v>
      </c>
    </row>
    <row r="1918" spans="1:3" x14ac:dyDescent="0.25">
      <c r="A1918" t="str">
        <f t="shared" si="67"/>
        <v>51</v>
      </c>
      <c r="B1918" t="str">
        <f>"51.0714"</f>
        <v>51.0714</v>
      </c>
      <c r="C1918" t="s">
        <v>1705</v>
      </c>
    </row>
    <row r="1919" spans="1:3" x14ac:dyDescent="0.25">
      <c r="A1919" t="str">
        <f t="shared" si="67"/>
        <v>51</v>
      </c>
      <c r="B1919" t="str">
        <f>"51.0715"</f>
        <v>51.0715</v>
      </c>
      <c r="C1919" t="s">
        <v>1706</v>
      </c>
    </row>
    <row r="1920" spans="1:3" x14ac:dyDescent="0.25">
      <c r="A1920" t="str">
        <f t="shared" si="67"/>
        <v>51</v>
      </c>
      <c r="B1920" t="str">
        <f>"51.0716"</f>
        <v>51.0716</v>
      </c>
      <c r="C1920" t="s">
        <v>1707</v>
      </c>
    </row>
    <row r="1921" spans="1:3" x14ac:dyDescent="0.25">
      <c r="A1921" t="str">
        <f t="shared" si="67"/>
        <v>51</v>
      </c>
      <c r="B1921" t="str">
        <f>"51.0717"</f>
        <v>51.0717</v>
      </c>
      <c r="C1921" t="s">
        <v>1708</v>
      </c>
    </row>
    <row r="1922" spans="1:3" x14ac:dyDescent="0.25">
      <c r="A1922" t="str">
        <f t="shared" si="67"/>
        <v>51</v>
      </c>
      <c r="B1922" t="str">
        <f>"51.0718"</f>
        <v>51.0718</v>
      </c>
      <c r="C1922" t="s">
        <v>1709</v>
      </c>
    </row>
    <row r="1923" spans="1:3" x14ac:dyDescent="0.25">
      <c r="A1923" t="str">
        <f t="shared" si="67"/>
        <v>51</v>
      </c>
      <c r="B1923" t="str">
        <f>"51.0719"</f>
        <v>51.0719</v>
      </c>
      <c r="C1923" t="s">
        <v>1710</v>
      </c>
    </row>
    <row r="1924" spans="1:3" x14ac:dyDescent="0.25">
      <c r="A1924" t="str">
        <f t="shared" si="67"/>
        <v>51</v>
      </c>
      <c r="B1924" t="str">
        <f>"51.0720"</f>
        <v>51.0720</v>
      </c>
      <c r="C1924" t="s">
        <v>1711</v>
      </c>
    </row>
    <row r="1925" spans="1:3" x14ac:dyDescent="0.25">
      <c r="A1925" t="str">
        <f t="shared" si="67"/>
        <v>51</v>
      </c>
      <c r="B1925" t="str">
        <f>"51.0721"</f>
        <v>51.0721</v>
      </c>
      <c r="C1925" t="s">
        <v>1712</v>
      </c>
    </row>
    <row r="1926" spans="1:3" x14ac:dyDescent="0.25">
      <c r="A1926" t="str">
        <f t="shared" si="67"/>
        <v>51</v>
      </c>
      <c r="B1926" t="str">
        <f>"51.0722"</f>
        <v>51.0722</v>
      </c>
      <c r="C1926" t="s">
        <v>1713</v>
      </c>
    </row>
    <row r="1927" spans="1:3" x14ac:dyDescent="0.25">
      <c r="A1927" t="str">
        <f t="shared" si="67"/>
        <v>51</v>
      </c>
      <c r="B1927" t="str">
        <f>"51.0723"</f>
        <v>51.0723</v>
      </c>
      <c r="C1927" t="s">
        <v>1714</v>
      </c>
    </row>
    <row r="1928" spans="1:3" x14ac:dyDescent="0.25">
      <c r="A1928" t="str">
        <f t="shared" si="67"/>
        <v>51</v>
      </c>
      <c r="B1928" t="str">
        <f>"51.0799"</f>
        <v>51.0799</v>
      </c>
      <c r="C1928" t="s">
        <v>1715</v>
      </c>
    </row>
    <row r="1929" spans="1:3" x14ac:dyDescent="0.25">
      <c r="A1929" t="str">
        <f t="shared" si="67"/>
        <v>51</v>
      </c>
      <c r="B1929" t="str">
        <f>"51.08"</f>
        <v>51.08</v>
      </c>
      <c r="C1929" t="s">
        <v>1716</v>
      </c>
    </row>
    <row r="1930" spans="1:3" x14ac:dyDescent="0.25">
      <c r="A1930" t="str">
        <f t="shared" si="67"/>
        <v>51</v>
      </c>
      <c r="B1930" t="str">
        <f>"51.0801"</f>
        <v>51.0801</v>
      </c>
      <c r="C1930" t="s">
        <v>1717</v>
      </c>
    </row>
    <row r="1931" spans="1:3" x14ac:dyDescent="0.25">
      <c r="A1931" t="str">
        <f t="shared" si="67"/>
        <v>51</v>
      </c>
      <c r="B1931" t="str">
        <f>"51.0802"</f>
        <v>51.0802</v>
      </c>
      <c r="C1931" t="s">
        <v>1718</v>
      </c>
    </row>
    <row r="1932" spans="1:3" x14ac:dyDescent="0.25">
      <c r="A1932" t="str">
        <f t="shared" si="67"/>
        <v>51</v>
      </c>
      <c r="B1932" t="str">
        <f>"51.0803"</f>
        <v>51.0803</v>
      </c>
      <c r="C1932" t="s">
        <v>1719</v>
      </c>
    </row>
    <row r="1933" spans="1:3" x14ac:dyDescent="0.25">
      <c r="A1933" t="str">
        <f t="shared" si="67"/>
        <v>51</v>
      </c>
      <c r="B1933" t="str">
        <f>"51.0805"</f>
        <v>51.0805</v>
      </c>
      <c r="C1933" t="s">
        <v>1720</v>
      </c>
    </row>
    <row r="1934" spans="1:3" x14ac:dyDescent="0.25">
      <c r="A1934" t="str">
        <f t="shared" ref="A1934:A1997" si="68">"51"</f>
        <v>51</v>
      </c>
      <c r="B1934" t="str">
        <f>"51.0806"</f>
        <v>51.0806</v>
      </c>
      <c r="C1934" t="s">
        <v>1721</v>
      </c>
    </row>
    <row r="1935" spans="1:3" x14ac:dyDescent="0.25">
      <c r="A1935" t="str">
        <f t="shared" si="68"/>
        <v>51</v>
      </c>
      <c r="B1935" t="str">
        <f>"51.0808"</f>
        <v>51.0808</v>
      </c>
      <c r="C1935" t="s">
        <v>107</v>
      </c>
    </row>
    <row r="1936" spans="1:3" x14ac:dyDescent="0.25">
      <c r="A1936" t="str">
        <f t="shared" si="68"/>
        <v>51</v>
      </c>
      <c r="B1936" t="str">
        <f>"51.0809"</f>
        <v>51.0809</v>
      </c>
      <c r="C1936" t="s">
        <v>1722</v>
      </c>
    </row>
    <row r="1937" spans="1:3" x14ac:dyDescent="0.25">
      <c r="A1937" t="str">
        <f t="shared" si="68"/>
        <v>51</v>
      </c>
      <c r="B1937" t="str">
        <f>"51.0810"</f>
        <v>51.0810</v>
      </c>
      <c r="C1937" t="s">
        <v>1723</v>
      </c>
    </row>
    <row r="1938" spans="1:3" x14ac:dyDescent="0.25">
      <c r="A1938" t="str">
        <f t="shared" si="68"/>
        <v>51</v>
      </c>
      <c r="B1938" t="str">
        <f>"51.0811"</f>
        <v>51.0811</v>
      </c>
      <c r="C1938" t="s">
        <v>1724</v>
      </c>
    </row>
    <row r="1939" spans="1:3" x14ac:dyDescent="0.25">
      <c r="A1939" t="str">
        <f t="shared" si="68"/>
        <v>51</v>
      </c>
      <c r="B1939" t="str">
        <f>"51.0812"</f>
        <v>51.0812</v>
      </c>
      <c r="C1939" t="s">
        <v>1725</v>
      </c>
    </row>
    <row r="1940" spans="1:3" x14ac:dyDescent="0.25">
      <c r="A1940" t="str">
        <f t="shared" si="68"/>
        <v>51</v>
      </c>
      <c r="B1940" t="str">
        <f>"51.0813"</f>
        <v>51.0813</v>
      </c>
      <c r="C1940" t="s">
        <v>1726</v>
      </c>
    </row>
    <row r="1941" spans="1:3" x14ac:dyDescent="0.25">
      <c r="A1941" t="str">
        <f t="shared" si="68"/>
        <v>51</v>
      </c>
      <c r="B1941" t="str">
        <f>"51.0814"</f>
        <v>51.0814</v>
      </c>
      <c r="C1941" t="s">
        <v>1727</v>
      </c>
    </row>
    <row r="1942" spans="1:3" x14ac:dyDescent="0.25">
      <c r="A1942" t="str">
        <f t="shared" si="68"/>
        <v>51</v>
      </c>
      <c r="B1942" t="str">
        <f>"51.0815"</f>
        <v>51.0815</v>
      </c>
      <c r="C1942" t="s">
        <v>1728</v>
      </c>
    </row>
    <row r="1943" spans="1:3" x14ac:dyDescent="0.25">
      <c r="A1943" t="str">
        <f t="shared" si="68"/>
        <v>51</v>
      </c>
      <c r="B1943" t="str">
        <f>"51.0816"</f>
        <v>51.0816</v>
      </c>
      <c r="C1943" t="s">
        <v>1729</v>
      </c>
    </row>
    <row r="1944" spans="1:3" x14ac:dyDescent="0.25">
      <c r="A1944" t="str">
        <f t="shared" si="68"/>
        <v>51</v>
      </c>
      <c r="B1944" t="str">
        <f>"51.0817"</f>
        <v>51.0817</v>
      </c>
      <c r="C1944" t="s">
        <v>31</v>
      </c>
    </row>
    <row r="1945" spans="1:3" x14ac:dyDescent="0.25">
      <c r="A1945" t="str">
        <f t="shared" si="68"/>
        <v>51</v>
      </c>
      <c r="B1945" t="str">
        <f>"51.0899"</f>
        <v>51.0899</v>
      </c>
      <c r="C1945" t="s">
        <v>1730</v>
      </c>
    </row>
    <row r="1946" spans="1:3" x14ac:dyDescent="0.25">
      <c r="A1946" t="str">
        <f t="shared" si="68"/>
        <v>51</v>
      </c>
      <c r="B1946" t="str">
        <f>"51.09"</f>
        <v>51.09</v>
      </c>
      <c r="C1946" t="s">
        <v>1731</v>
      </c>
    </row>
    <row r="1947" spans="1:3" x14ac:dyDescent="0.25">
      <c r="A1947" t="str">
        <f t="shared" si="68"/>
        <v>51</v>
      </c>
      <c r="B1947" t="str">
        <f>"51.0901"</f>
        <v>51.0901</v>
      </c>
      <c r="C1947" t="s">
        <v>1732</v>
      </c>
    </row>
    <row r="1948" spans="1:3" x14ac:dyDescent="0.25">
      <c r="A1948" t="str">
        <f t="shared" si="68"/>
        <v>51</v>
      </c>
      <c r="B1948" t="str">
        <f>"51.0902"</f>
        <v>51.0902</v>
      </c>
      <c r="C1948" t="s">
        <v>1733</v>
      </c>
    </row>
    <row r="1949" spans="1:3" x14ac:dyDescent="0.25">
      <c r="A1949" t="str">
        <f t="shared" si="68"/>
        <v>51</v>
      </c>
      <c r="B1949" t="str">
        <f>"51.0903"</f>
        <v>51.0903</v>
      </c>
      <c r="C1949" t="s">
        <v>1734</v>
      </c>
    </row>
    <row r="1950" spans="1:3" x14ac:dyDescent="0.25">
      <c r="A1950" t="str">
        <f t="shared" si="68"/>
        <v>51</v>
      </c>
      <c r="B1950" t="str">
        <f>"51.0904"</f>
        <v>51.0904</v>
      </c>
      <c r="C1950" t="s">
        <v>1735</v>
      </c>
    </row>
    <row r="1951" spans="1:3" x14ac:dyDescent="0.25">
      <c r="A1951" t="str">
        <f t="shared" si="68"/>
        <v>51</v>
      </c>
      <c r="B1951" t="str">
        <f>"51.0905"</f>
        <v>51.0905</v>
      </c>
      <c r="C1951" t="s">
        <v>1736</v>
      </c>
    </row>
    <row r="1952" spans="1:3" x14ac:dyDescent="0.25">
      <c r="A1952" t="str">
        <f t="shared" si="68"/>
        <v>51</v>
      </c>
      <c r="B1952" t="str">
        <f>"51.0906"</f>
        <v>51.0906</v>
      </c>
      <c r="C1952" t="s">
        <v>1737</v>
      </c>
    </row>
    <row r="1953" spans="1:3" x14ac:dyDescent="0.25">
      <c r="A1953" t="str">
        <f t="shared" si="68"/>
        <v>51</v>
      </c>
      <c r="B1953" t="str">
        <f>"51.0907"</f>
        <v>51.0907</v>
      </c>
      <c r="C1953" t="s">
        <v>1738</v>
      </c>
    </row>
    <row r="1954" spans="1:3" x14ac:dyDescent="0.25">
      <c r="A1954" t="str">
        <f t="shared" si="68"/>
        <v>51</v>
      </c>
      <c r="B1954" t="str">
        <f>"51.0908"</f>
        <v>51.0908</v>
      </c>
      <c r="C1954" t="s">
        <v>1739</v>
      </c>
    </row>
    <row r="1955" spans="1:3" x14ac:dyDescent="0.25">
      <c r="A1955" t="str">
        <f t="shared" si="68"/>
        <v>51</v>
      </c>
      <c r="B1955" t="str">
        <f>"51.0909"</f>
        <v>51.0909</v>
      </c>
      <c r="C1955" t="s">
        <v>1740</v>
      </c>
    </row>
    <row r="1956" spans="1:3" x14ac:dyDescent="0.25">
      <c r="A1956" t="str">
        <f t="shared" si="68"/>
        <v>51</v>
      </c>
      <c r="B1956" t="str">
        <f>"51.0910"</f>
        <v>51.0910</v>
      </c>
      <c r="C1956" t="s">
        <v>1741</v>
      </c>
    </row>
    <row r="1957" spans="1:3" x14ac:dyDescent="0.25">
      <c r="A1957" t="str">
        <f t="shared" si="68"/>
        <v>51</v>
      </c>
      <c r="B1957" t="str">
        <f>"51.0911"</f>
        <v>51.0911</v>
      </c>
      <c r="C1957" t="s">
        <v>1742</v>
      </c>
    </row>
    <row r="1958" spans="1:3" x14ac:dyDescent="0.25">
      <c r="A1958" t="str">
        <f t="shared" si="68"/>
        <v>51</v>
      </c>
      <c r="B1958" t="str">
        <f>"51.0912"</f>
        <v>51.0912</v>
      </c>
      <c r="C1958" t="s">
        <v>1743</v>
      </c>
    </row>
    <row r="1959" spans="1:3" x14ac:dyDescent="0.25">
      <c r="A1959" t="str">
        <f t="shared" si="68"/>
        <v>51</v>
      </c>
      <c r="B1959" t="str">
        <f>"51.0913"</f>
        <v>51.0913</v>
      </c>
      <c r="C1959" t="s">
        <v>1744</v>
      </c>
    </row>
    <row r="1960" spans="1:3" x14ac:dyDescent="0.25">
      <c r="A1960" t="str">
        <f t="shared" si="68"/>
        <v>51</v>
      </c>
      <c r="B1960" t="str">
        <f>"51.0914"</f>
        <v>51.0914</v>
      </c>
      <c r="C1960" t="s">
        <v>1745</v>
      </c>
    </row>
    <row r="1961" spans="1:3" x14ac:dyDescent="0.25">
      <c r="A1961" t="str">
        <f t="shared" si="68"/>
        <v>51</v>
      </c>
      <c r="B1961" t="str">
        <f>"51.0915"</f>
        <v>51.0915</v>
      </c>
      <c r="C1961" t="s">
        <v>1746</v>
      </c>
    </row>
    <row r="1962" spans="1:3" x14ac:dyDescent="0.25">
      <c r="A1962" t="str">
        <f t="shared" si="68"/>
        <v>51</v>
      </c>
      <c r="B1962" t="str">
        <f>"51.0916"</f>
        <v>51.0916</v>
      </c>
      <c r="C1962" t="s">
        <v>1747</v>
      </c>
    </row>
    <row r="1963" spans="1:3" x14ac:dyDescent="0.25">
      <c r="A1963" t="str">
        <f t="shared" si="68"/>
        <v>51</v>
      </c>
      <c r="B1963" t="str">
        <f>"51.0917"</f>
        <v>51.0917</v>
      </c>
      <c r="C1963" t="s">
        <v>1748</v>
      </c>
    </row>
    <row r="1964" spans="1:3" x14ac:dyDescent="0.25">
      <c r="A1964" t="str">
        <f t="shared" si="68"/>
        <v>51</v>
      </c>
      <c r="B1964" t="str">
        <f>"51.0918"</f>
        <v>51.0918</v>
      </c>
      <c r="C1964" t="s">
        <v>1749</v>
      </c>
    </row>
    <row r="1965" spans="1:3" x14ac:dyDescent="0.25">
      <c r="A1965" t="str">
        <f t="shared" si="68"/>
        <v>51</v>
      </c>
      <c r="B1965" t="str">
        <f>"51.0919"</f>
        <v>51.0919</v>
      </c>
      <c r="C1965" t="s">
        <v>1750</v>
      </c>
    </row>
    <row r="1966" spans="1:3" x14ac:dyDescent="0.25">
      <c r="A1966" t="str">
        <f t="shared" si="68"/>
        <v>51</v>
      </c>
      <c r="B1966" t="str">
        <f>"51.0920"</f>
        <v>51.0920</v>
      </c>
      <c r="C1966" t="s">
        <v>1751</v>
      </c>
    </row>
    <row r="1967" spans="1:3" x14ac:dyDescent="0.25">
      <c r="A1967" t="str">
        <f t="shared" si="68"/>
        <v>51</v>
      </c>
      <c r="B1967" t="str">
        <f>"51.0921"</f>
        <v>51.0921</v>
      </c>
      <c r="C1967" t="s">
        <v>1752</v>
      </c>
    </row>
    <row r="1968" spans="1:3" x14ac:dyDescent="0.25">
      <c r="A1968" t="str">
        <f t="shared" si="68"/>
        <v>51</v>
      </c>
      <c r="B1968" t="str">
        <f>"51.0922"</f>
        <v>51.0922</v>
      </c>
      <c r="C1968" t="s">
        <v>1753</v>
      </c>
    </row>
    <row r="1969" spans="1:3" x14ac:dyDescent="0.25">
      <c r="A1969" t="str">
        <f t="shared" si="68"/>
        <v>51</v>
      </c>
      <c r="B1969" t="str">
        <f>"51.0923"</f>
        <v>51.0923</v>
      </c>
      <c r="C1969" t="s">
        <v>1754</v>
      </c>
    </row>
    <row r="1970" spans="1:3" x14ac:dyDescent="0.25">
      <c r="A1970" t="str">
        <f t="shared" si="68"/>
        <v>51</v>
      </c>
      <c r="B1970" t="str">
        <f>"51.0924"</f>
        <v>51.0924</v>
      </c>
      <c r="C1970" t="s">
        <v>31</v>
      </c>
    </row>
    <row r="1971" spans="1:3" x14ac:dyDescent="0.25">
      <c r="A1971" t="str">
        <f t="shared" si="68"/>
        <v>51</v>
      </c>
      <c r="B1971" t="str">
        <f>"51.0999"</f>
        <v>51.0999</v>
      </c>
      <c r="C1971" t="s">
        <v>1755</v>
      </c>
    </row>
    <row r="1972" spans="1:3" x14ac:dyDescent="0.25">
      <c r="A1972" t="str">
        <f t="shared" si="68"/>
        <v>51</v>
      </c>
      <c r="B1972" t="str">
        <f>"51.10"</f>
        <v>51.10</v>
      </c>
      <c r="C1972" t="s">
        <v>1756</v>
      </c>
    </row>
    <row r="1973" spans="1:3" x14ac:dyDescent="0.25">
      <c r="A1973" t="str">
        <f t="shared" si="68"/>
        <v>51</v>
      </c>
      <c r="B1973" t="str">
        <f>"51.1001"</f>
        <v>51.1001</v>
      </c>
      <c r="C1973" t="s">
        <v>1757</v>
      </c>
    </row>
    <row r="1974" spans="1:3" x14ac:dyDescent="0.25">
      <c r="A1974" t="str">
        <f t="shared" si="68"/>
        <v>51</v>
      </c>
      <c r="B1974" t="str">
        <f>"51.1002"</f>
        <v>51.1002</v>
      </c>
      <c r="C1974" t="s">
        <v>1758</v>
      </c>
    </row>
    <row r="1975" spans="1:3" x14ac:dyDescent="0.25">
      <c r="A1975" t="str">
        <f t="shared" si="68"/>
        <v>51</v>
      </c>
      <c r="B1975" t="str">
        <f>"51.1003"</f>
        <v>51.1003</v>
      </c>
      <c r="C1975" t="s">
        <v>1759</v>
      </c>
    </row>
    <row r="1976" spans="1:3" x14ac:dyDescent="0.25">
      <c r="A1976" t="str">
        <f t="shared" si="68"/>
        <v>51</v>
      </c>
      <c r="B1976" t="str">
        <f>"51.1004"</f>
        <v>51.1004</v>
      </c>
      <c r="C1976" t="s">
        <v>1760</v>
      </c>
    </row>
    <row r="1977" spans="1:3" x14ac:dyDescent="0.25">
      <c r="A1977" t="str">
        <f t="shared" si="68"/>
        <v>51</v>
      </c>
      <c r="B1977" t="str">
        <f>"51.1005"</f>
        <v>51.1005</v>
      </c>
      <c r="C1977" t="s">
        <v>1761</v>
      </c>
    </row>
    <row r="1978" spans="1:3" x14ac:dyDescent="0.25">
      <c r="A1978" t="str">
        <f t="shared" si="68"/>
        <v>51</v>
      </c>
      <c r="B1978" t="str">
        <f>"51.1006"</f>
        <v>51.1006</v>
      </c>
      <c r="C1978" t="s">
        <v>1762</v>
      </c>
    </row>
    <row r="1979" spans="1:3" x14ac:dyDescent="0.25">
      <c r="A1979" t="str">
        <f t="shared" si="68"/>
        <v>51</v>
      </c>
      <c r="B1979" t="str">
        <f>"51.1007"</f>
        <v>51.1007</v>
      </c>
      <c r="C1979" t="s">
        <v>1763</v>
      </c>
    </row>
    <row r="1980" spans="1:3" x14ac:dyDescent="0.25">
      <c r="A1980" t="str">
        <f t="shared" si="68"/>
        <v>51</v>
      </c>
      <c r="B1980" t="str">
        <f>"51.1008"</f>
        <v>51.1008</v>
      </c>
      <c r="C1980" t="s">
        <v>1764</v>
      </c>
    </row>
    <row r="1981" spans="1:3" x14ac:dyDescent="0.25">
      <c r="A1981" t="str">
        <f t="shared" si="68"/>
        <v>51</v>
      </c>
      <c r="B1981" t="str">
        <f>"51.1009"</f>
        <v>51.1009</v>
      </c>
      <c r="C1981" t="s">
        <v>1765</v>
      </c>
    </row>
    <row r="1982" spans="1:3" x14ac:dyDescent="0.25">
      <c r="A1982" t="str">
        <f t="shared" si="68"/>
        <v>51</v>
      </c>
      <c r="B1982" t="str">
        <f>"51.1010"</f>
        <v>51.1010</v>
      </c>
      <c r="C1982" t="s">
        <v>1766</v>
      </c>
    </row>
    <row r="1983" spans="1:3" x14ac:dyDescent="0.25">
      <c r="A1983" t="str">
        <f t="shared" si="68"/>
        <v>51</v>
      </c>
      <c r="B1983" t="str">
        <f>"51.1011"</f>
        <v>51.1011</v>
      </c>
      <c r="C1983" t="s">
        <v>1767</v>
      </c>
    </row>
    <row r="1984" spans="1:3" x14ac:dyDescent="0.25">
      <c r="A1984" t="str">
        <f t="shared" si="68"/>
        <v>51</v>
      </c>
      <c r="B1984" t="str">
        <f>"51.1012"</f>
        <v>51.1012</v>
      </c>
      <c r="C1984" t="s">
        <v>1768</v>
      </c>
    </row>
    <row r="1985" spans="1:3" x14ac:dyDescent="0.25">
      <c r="A1985" t="str">
        <f t="shared" si="68"/>
        <v>51</v>
      </c>
      <c r="B1985" t="str">
        <f>"51.1099"</f>
        <v>51.1099</v>
      </c>
      <c r="C1985" t="s">
        <v>1769</v>
      </c>
    </row>
    <row r="1986" spans="1:3" x14ac:dyDescent="0.25">
      <c r="A1986" t="str">
        <f t="shared" si="68"/>
        <v>51</v>
      </c>
      <c r="B1986" t="str">
        <f>"51.11"</f>
        <v>51.11</v>
      </c>
      <c r="C1986" t="s">
        <v>1770</v>
      </c>
    </row>
    <row r="1987" spans="1:3" x14ac:dyDescent="0.25">
      <c r="A1987" t="str">
        <f t="shared" si="68"/>
        <v>51</v>
      </c>
      <c r="B1987" t="str">
        <f>"51.1101"</f>
        <v>51.1101</v>
      </c>
      <c r="C1987" t="s">
        <v>1771</v>
      </c>
    </row>
    <row r="1988" spans="1:3" x14ac:dyDescent="0.25">
      <c r="A1988" t="str">
        <f t="shared" si="68"/>
        <v>51</v>
      </c>
      <c r="B1988" t="str">
        <f>"51.1102"</f>
        <v>51.1102</v>
      </c>
      <c r="C1988" t="s">
        <v>1772</v>
      </c>
    </row>
    <row r="1989" spans="1:3" x14ac:dyDescent="0.25">
      <c r="A1989" t="str">
        <f t="shared" si="68"/>
        <v>51</v>
      </c>
      <c r="B1989" t="str">
        <f>"51.1103"</f>
        <v>51.1103</v>
      </c>
      <c r="C1989" t="s">
        <v>1773</v>
      </c>
    </row>
    <row r="1990" spans="1:3" x14ac:dyDescent="0.25">
      <c r="A1990" t="str">
        <f t="shared" si="68"/>
        <v>51</v>
      </c>
      <c r="B1990" t="str">
        <f>"51.1104"</f>
        <v>51.1104</v>
      </c>
      <c r="C1990" t="s">
        <v>84</v>
      </c>
    </row>
    <row r="1991" spans="1:3" x14ac:dyDescent="0.25">
      <c r="A1991" t="str">
        <f t="shared" si="68"/>
        <v>51</v>
      </c>
      <c r="B1991" t="str">
        <f>"51.1105"</f>
        <v>51.1105</v>
      </c>
      <c r="C1991" t="s">
        <v>1774</v>
      </c>
    </row>
    <row r="1992" spans="1:3" x14ac:dyDescent="0.25">
      <c r="A1992" t="str">
        <f t="shared" si="68"/>
        <v>51</v>
      </c>
      <c r="B1992" t="str">
        <f>"51.1106"</f>
        <v>51.1106</v>
      </c>
      <c r="C1992" t="s">
        <v>1775</v>
      </c>
    </row>
    <row r="1993" spans="1:3" x14ac:dyDescent="0.25">
      <c r="A1993" t="str">
        <f t="shared" si="68"/>
        <v>51</v>
      </c>
      <c r="B1993" t="str">
        <f>"51.1107"</f>
        <v>51.1107</v>
      </c>
      <c r="C1993" t="s">
        <v>1776</v>
      </c>
    </row>
    <row r="1994" spans="1:3" x14ac:dyDescent="0.25">
      <c r="A1994" t="str">
        <f t="shared" si="68"/>
        <v>51</v>
      </c>
      <c r="B1994" t="str">
        <f>"51.1108"</f>
        <v>51.1108</v>
      </c>
      <c r="C1994" t="s">
        <v>1777</v>
      </c>
    </row>
    <row r="1995" spans="1:3" x14ac:dyDescent="0.25">
      <c r="A1995" t="str">
        <f t="shared" si="68"/>
        <v>51</v>
      </c>
      <c r="B1995" t="str">
        <f>"51.1109"</f>
        <v>51.1109</v>
      </c>
      <c r="C1995" t="s">
        <v>1778</v>
      </c>
    </row>
    <row r="1996" spans="1:3" x14ac:dyDescent="0.25">
      <c r="A1996" t="str">
        <f t="shared" si="68"/>
        <v>51</v>
      </c>
      <c r="B1996" t="str">
        <f>"51.1110"</f>
        <v>51.1110</v>
      </c>
      <c r="C1996" t="s">
        <v>1779</v>
      </c>
    </row>
    <row r="1997" spans="1:3" x14ac:dyDescent="0.25">
      <c r="A1997" t="str">
        <f t="shared" si="68"/>
        <v>51</v>
      </c>
      <c r="B1997" t="str">
        <f>"51.1111"</f>
        <v>51.1111</v>
      </c>
      <c r="C1997" t="s">
        <v>1780</v>
      </c>
    </row>
    <row r="1998" spans="1:3" x14ac:dyDescent="0.25">
      <c r="A1998" t="str">
        <f t="shared" ref="A1998:A2061" si="69">"51"</f>
        <v>51</v>
      </c>
      <c r="B1998" t="str">
        <f>"51.1199"</f>
        <v>51.1199</v>
      </c>
      <c r="C1998" t="s">
        <v>1781</v>
      </c>
    </row>
    <row r="1999" spans="1:3" x14ac:dyDescent="0.25">
      <c r="A1999" t="str">
        <f t="shared" si="69"/>
        <v>51</v>
      </c>
      <c r="B1999" t="str">
        <f>"51.12"</f>
        <v>51.12</v>
      </c>
      <c r="C1999" t="s">
        <v>1782</v>
      </c>
    </row>
    <row r="2000" spans="1:3" x14ac:dyDescent="0.25">
      <c r="A2000" t="str">
        <f t="shared" si="69"/>
        <v>51</v>
      </c>
      <c r="B2000" t="str">
        <f>"51.1201"</f>
        <v>51.1201</v>
      </c>
      <c r="C2000" t="s">
        <v>1782</v>
      </c>
    </row>
    <row r="2001" spans="1:3" x14ac:dyDescent="0.25">
      <c r="A2001" t="str">
        <f t="shared" si="69"/>
        <v>51</v>
      </c>
      <c r="B2001" t="str">
        <f>"51.1202"</f>
        <v>51.1202</v>
      </c>
      <c r="C2001" t="s">
        <v>1783</v>
      </c>
    </row>
    <row r="2002" spans="1:3" x14ac:dyDescent="0.25">
      <c r="A2002" t="str">
        <f t="shared" si="69"/>
        <v>51</v>
      </c>
      <c r="B2002" t="str">
        <f>"51.1203"</f>
        <v>51.1203</v>
      </c>
      <c r="C2002" t="s">
        <v>1784</v>
      </c>
    </row>
    <row r="2003" spans="1:3" x14ac:dyDescent="0.25">
      <c r="A2003" t="str">
        <f t="shared" si="69"/>
        <v>51</v>
      </c>
      <c r="B2003" t="str">
        <f>"51.1299"</f>
        <v>51.1299</v>
      </c>
      <c r="C2003" t="s">
        <v>1785</v>
      </c>
    </row>
    <row r="2004" spans="1:3" x14ac:dyDescent="0.25">
      <c r="A2004" t="str">
        <f t="shared" si="69"/>
        <v>51</v>
      </c>
      <c r="B2004" t="str">
        <f>"51.14"</f>
        <v>51.14</v>
      </c>
      <c r="C2004" t="s">
        <v>1786</v>
      </c>
    </row>
    <row r="2005" spans="1:3" x14ac:dyDescent="0.25">
      <c r="A2005" t="str">
        <f t="shared" si="69"/>
        <v>51</v>
      </c>
      <c r="B2005" t="str">
        <f>"51.1401"</f>
        <v>51.1401</v>
      </c>
      <c r="C2005" t="s">
        <v>1787</v>
      </c>
    </row>
    <row r="2006" spans="1:3" x14ac:dyDescent="0.25">
      <c r="A2006" t="str">
        <f t="shared" si="69"/>
        <v>51</v>
      </c>
      <c r="B2006" t="str">
        <f>"51.1402"</f>
        <v>51.1402</v>
      </c>
      <c r="C2006" t="s">
        <v>1788</v>
      </c>
    </row>
    <row r="2007" spans="1:3" x14ac:dyDescent="0.25">
      <c r="A2007" t="str">
        <f t="shared" si="69"/>
        <v>51</v>
      </c>
      <c r="B2007" t="str">
        <f>"51.1403"</f>
        <v>51.1403</v>
      </c>
      <c r="C2007" t="s">
        <v>1789</v>
      </c>
    </row>
    <row r="2008" spans="1:3" x14ac:dyDescent="0.25">
      <c r="A2008" t="str">
        <f t="shared" si="69"/>
        <v>51</v>
      </c>
      <c r="B2008" t="str">
        <f>"51.1404"</f>
        <v>51.1404</v>
      </c>
      <c r="C2008" t="s">
        <v>1790</v>
      </c>
    </row>
    <row r="2009" spans="1:3" x14ac:dyDescent="0.25">
      <c r="A2009" t="str">
        <f t="shared" si="69"/>
        <v>51</v>
      </c>
      <c r="B2009" t="str">
        <f>"51.1405"</f>
        <v>51.1405</v>
      </c>
      <c r="C2009" t="s">
        <v>1791</v>
      </c>
    </row>
    <row r="2010" spans="1:3" x14ac:dyDescent="0.25">
      <c r="A2010" t="str">
        <f t="shared" si="69"/>
        <v>51</v>
      </c>
      <c r="B2010" t="str">
        <f>"51.1499"</f>
        <v>51.1499</v>
      </c>
      <c r="C2010" t="s">
        <v>1792</v>
      </c>
    </row>
    <row r="2011" spans="1:3" x14ac:dyDescent="0.25">
      <c r="A2011" t="str">
        <f t="shared" si="69"/>
        <v>51</v>
      </c>
      <c r="B2011" t="str">
        <f>"51.15"</f>
        <v>51.15</v>
      </c>
      <c r="C2011" t="s">
        <v>1793</v>
      </c>
    </row>
    <row r="2012" spans="1:3" x14ac:dyDescent="0.25">
      <c r="A2012" t="str">
        <f t="shared" si="69"/>
        <v>51</v>
      </c>
      <c r="B2012" t="str">
        <f>"51.1501"</f>
        <v>51.1501</v>
      </c>
      <c r="C2012" t="s">
        <v>1794</v>
      </c>
    </row>
    <row r="2013" spans="1:3" x14ac:dyDescent="0.25">
      <c r="A2013" t="str">
        <f t="shared" si="69"/>
        <v>51</v>
      </c>
      <c r="B2013" t="str">
        <f>"51.1502"</f>
        <v>51.1502</v>
      </c>
      <c r="C2013" t="s">
        <v>1795</v>
      </c>
    </row>
    <row r="2014" spans="1:3" x14ac:dyDescent="0.25">
      <c r="A2014" t="str">
        <f t="shared" si="69"/>
        <v>51</v>
      </c>
      <c r="B2014" t="str">
        <f>"51.1503"</f>
        <v>51.1503</v>
      </c>
      <c r="C2014" t="s">
        <v>1796</v>
      </c>
    </row>
    <row r="2015" spans="1:3" x14ac:dyDescent="0.25">
      <c r="A2015" t="str">
        <f t="shared" si="69"/>
        <v>51</v>
      </c>
      <c r="B2015" t="str">
        <f>"51.1504"</f>
        <v>51.1504</v>
      </c>
      <c r="C2015" t="s">
        <v>1797</v>
      </c>
    </row>
    <row r="2016" spans="1:3" x14ac:dyDescent="0.25">
      <c r="A2016" t="str">
        <f t="shared" si="69"/>
        <v>51</v>
      </c>
      <c r="B2016" t="str">
        <f>"51.1505"</f>
        <v>51.1505</v>
      </c>
      <c r="C2016" t="s">
        <v>1798</v>
      </c>
    </row>
    <row r="2017" spans="1:3" x14ac:dyDescent="0.25">
      <c r="A2017" t="str">
        <f t="shared" si="69"/>
        <v>51</v>
      </c>
      <c r="B2017" t="str">
        <f>"51.1506"</f>
        <v>51.1506</v>
      </c>
      <c r="C2017" t="s">
        <v>1799</v>
      </c>
    </row>
    <row r="2018" spans="1:3" x14ac:dyDescent="0.25">
      <c r="A2018" t="str">
        <f t="shared" si="69"/>
        <v>51</v>
      </c>
      <c r="B2018" t="str">
        <f>"51.1507"</f>
        <v>51.1507</v>
      </c>
      <c r="C2018" t="s">
        <v>1800</v>
      </c>
    </row>
    <row r="2019" spans="1:3" x14ac:dyDescent="0.25">
      <c r="A2019" t="str">
        <f t="shared" si="69"/>
        <v>51</v>
      </c>
      <c r="B2019" t="str">
        <f>"51.1508"</f>
        <v>51.1508</v>
      </c>
      <c r="C2019" t="s">
        <v>1801</v>
      </c>
    </row>
    <row r="2020" spans="1:3" x14ac:dyDescent="0.25">
      <c r="A2020" t="str">
        <f t="shared" si="69"/>
        <v>51</v>
      </c>
      <c r="B2020" t="str">
        <f>"51.1509"</f>
        <v>51.1509</v>
      </c>
      <c r="C2020" t="s">
        <v>1802</v>
      </c>
    </row>
    <row r="2021" spans="1:3" x14ac:dyDescent="0.25">
      <c r="A2021" t="str">
        <f t="shared" si="69"/>
        <v>51</v>
      </c>
      <c r="B2021" t="str">
        <f>"51.1510"</f>
        <v>51.1510</v>
      </c>
      <c r="C2021" t="s">
        <v>1803</v>
      </c>
    </row>
    <row r="2022" spans="1:3" x14ac:dyDescent="0.25">
      <c r="A2022" t="str">
        <f t="shared" si="69"/>
        <v>51</v>
      </c>
      <c r="B2022" t="str">
        <f>"51.1511"</f>
        <v>51.1511</v>
      </c>
      <c r="C2022" t="s">
        <v>1804</v>
      </c>
    </row>
    <row r="2023" spans="1:3" x14ac:dyDescent="0.25">
      <c r="A2023" t="str">
        <f t="shared" si="69"/>
        <v>51</v>
      </c>
      <c r="B2023" t="str">
        <f>"51.1512"</f>
        <v>51.1512</v>
      </c>
      <c r="C2023" t="s">
        <v>1805</v>
      </c>
    </row>
    <row r="2024" spans="1:3" x14ac:dyDescent="0.25">
      <c r="A2024" t="str">
        <f t="shared" si="69"/>
        <v>51</v>
      </c>
      <c r="B2024" t="str">
        <f>"51.1513"</f>
        <v>51.1513</v>
      </c>
      <c r="C2024" t="s">
        <v>1806</v>
      </c>
    </row>
    <row r="2025" spans="1:3" x14ac:dyDescent="0.25">
      <c r="A2025" t="str">
        <f t="shared" si="69"/>
        <v>51</v>
      </c>
      <c r="B2025" t="str">
        <f>"51.1580"</f>
        <v>51.1580</v>
      </c>
      <c r="C2025" t="s">
        <v>31</v>
      </c>
    </row>
    <row r="2026" spans="1:3" x14ac:dyDescent="0.25">
      <c r="A2026" t="str">
        <f t="shared" si="69"/>
        <v>51</v>
      </c>
      <c r="B2026" t="str">
        <f>"51.1599"</f>
        <v>51.1599</v>
      </c>
      <c r="C2026" t="s">
        <v>1807</v>
      </c>
    </row>
    <row r="2027" spans="1:3" x14ac:dyDescent="0.25">
      <c r="A2027" t="str">
        <f t="shared" si="69"/>
        <v>51</v>
      </c>
      <c r="B2027" t="str">
        <f>"51.17"</f>
        <v>51.17</v>
      </c>
      <c r="C2027" t="s">
        <v>1808</v>
      </c>
    </row>
    <row r="2028" spans="1:3" x14ac:dyDescent="0.25">
      <c r="A2028" t="str">
        <f t="shared" si="69"/>
        <v>51</v>
      </c>
      <c r="B2028" t="str">
        <f>"51.1701"</f>
        <v>51.1701</v>
      </c>
      <c r="C2028" t="s">
        <v>1808</v>
      </c>
    </row>
    <row r="2029" spans="1:3" x14ac:dyDescent="0.25">
      <c r="A2029" t="str">
        <f t="shared" si="69"/>
        <v>51</v>
      </c>
      <c r="B2029" t="str">
        <f>"51.18"</f>
        <v>51.18</v>
      </c>
      <c r="C2029" t="s">
        <v>1809</v>
      </c>
    </row>
    <row r="2030" spans="1:3" x14ac:dyDescent="0.25">
      <c r="A2030" t="str">
        <f t="shared" si="69"/>
        <v>51</v>
      </c>
      <c r="B2030" t="str">
        <f>"51.1801"</f>
        <v>51.1801</v>
      </c>
      <c r="C2030" t="s">
        <v>1810</v>
      </c>
    </row>
    <row r="2031" spans="1:3" x14ac:dyDescent="0.25">
      <c r="A2031" t="str">
        <f t="shared" si="69"/>
        <v>51</v>
      </c>
      <c r="B2031" t="str">
        <f>"51.1802"</f>
        <v>51.1802</v>
      </c>
      <c r="C2031" t="s">
        <v>1811</v>
      </c>
    </row>
    <row r="2032" spans="1:3" x14ac:dyDescent="0.25">
      <c r="A2032" t="str">
        <f t="shared" si="69"/>
        <v>51</v>
      </c>
      <c r="B2032" t="str">
        <f>"51.1803"</f>
        <v>51.1803</v>
      </c>
      <c r="C2032" t="s">
        <v>1812</v>
      </c>
    </row>
    <row r="2033" spans="1:3" x14ac:dyDescent="0.25">
      <c r="A2033" t="str">
        <f t="shared" si="69"/>
        <v>51</v>
      </c>
      <c r="B2033" t="str">
        <f>"51.1804"</f>
        <v>51.1804</v>
      </c>
      <c r="C2033" t="s">
        <v>1813</v>
      </c>
    </row>
    <row r="2034" spans="1:3" x14ac:dyDescent="0.25">
      <c r="A2034" t="str">
        <f t="shared" si="69"/>
        <v>51</v>
      </c>
      <c r="B2034" t="str">
        <f>"51.1899"</f>
        <v>51.1899</v>
      </c>
      <c r="C2034" t="s">
        <v>1814</v>
      </c>
    </row>
    <row r="2035" spans="1:3" x14ac:dyDescent="0.25">
      <c r="A2035" t="str">
        <f t="shared" si="69"/>
        <v>51</v>
      </c>
      <c r="B2035" t="str">
        <f>"51.19"</f>
        <v>51.19</v>
      </c>
      <c r="C2035" t="s">
        <v>1783</v>
      </c>
    </row>
    <row r="2036" spans="1:3" x14ac:dyDescent="0.25">
      <c r="A2036" t="str">
        <f t="shared" si="69"/>
        <v>51</v>
      </c>
      <c r="B2036" t="str">
        <f>"51.1901"</f>
        <v>51.1901</v>
      </c>
      <c r="C2036" t="s">
        <v>1783</v>
      </c>
    </row>
    <row r="2037" spans="1:3" x14ac:dyDescent="0.25">
      <c r="A2037" t="str">
        <f t="shared" si="69"/>
        <v>51</v>
      </c>
      <c r="B2037" t="str">
        <f>"51.20"</f>
        <v>51.20</v>
      </c>
      <c r="C2037" t="s">
        <v>1815</v>
      </c>
    </row>
    <row r="2038" spans="1:3" x14ac:dyDescent="0.25">
      <c r="A2038" t="str">
        <f t="shared" si="69"/>
        <v>51</v>
      </c>
      <c r="B2038" t="str">
        <f>"51.2001"</f>
        <v>51.2001</v>
      </c>
      <c r="C2038" t="s">
        <v>1816</v>
      </c>
    </row>
    <row r="2039" spans="1:3" x14ac:dyDescent="0.25">
      <c r="A2039" t="str">
        <f t="shared" si="69"/>
        <v>51</v>
      </c>
      <c r="B2039" t="str">
        <f>"51.2002"</f>
        <v>51.2002</v>
      </c>
      <c r="C2039" t="s">
        <v>1817</v>
      </c>
    </row>
    <row r="2040" spans="1:3" x14ac:dyDescent="0.25">
      <c r="A2040" t="str">
        <f t="shared" si="69"/>
        <v>51</v>
      </c>
      <c r="B2040" t="str">
        <f>"51.2003"</f>
        <v>51.2003</v>
      </c>
      <c r="C2040" t="s">
        <v>1818</v>
      </c>
    </row>
    <row r="2041" spans="1:3" x14ac:dyDescent="0.25">
      <c r="A2041" t="str">
        <f t="shared" si="69"/>
        <v>51</v>
      </c>
      <c r="B2041" t="str">
        <f>"51.2004"</f>
        <v>51.2004</v>
      </c>
      <c r="C2041" t="s">
        <v>1819</v>
      </c>
    </row>
    <row r="2042" spans="1:3" x14ac:dyDescent="0.25">
      <c r="A2042" t="str">
        <f t="shared" si="69"/>
        <v>51</v>
      </c>
      <c r="B2042" t="str">
        <f>"51.2005"</f>
        <v>51.2005</v>
      </c>
      <c r="C2042" t="s">
        <v>1820</v>
      </c>
    </row>
    <row r="2043" spans="1:3" x14ac:dyDescent="0.25">
      <c r="A2043" t="str">
        <f t="shared" si="69"/>
        <v>51</v>
      </c>
      <c r="B2043" t="str">
        <f>"51.2006"</f>
        <v>51.2006</v>
      </c>
      <c r="C2043" t="s">
        <v>1821</v>
      </c>
    </row>
    <row r="2044" spans="1:3" x14ac:dyDescent="0.25">
      <c r="A2044" t="str">
        <f t="shared" si="69"/>
        <v>51</v>
      </c>
      <c r="B2044" t="str">
        <f>"51.2007"</f>
        <v>51.2007</v>
      </c>
      <c r="C2044" t="s">
        <v>1822</v>
      </c>
    </row>
    <row r="2045" spans="1:3" x14ac:dyDescent="0.25">
      <c r="A2045" t="str">
        <f t="shared" si="69"/>
        <v>51</v>
      </c>
      <c r="B2045" t="str">
        <f>"51.2008"</f>
        <v>51.2008</v>
      </c>
      <c r="C2045" t="s">
        <v>1823</v>
      </c>
    </row>
    <row r="2046" spans="1:3" x14ac:dyDescent="0.25">
      <c r="A2046" t="str">
        <f t="shared" si="69"/>
        <v>51</v>
      </c>
      <c r="B2046" t="str">
        <f>"51.2009"</f>
        <v>51.2009</v>
      </c>
      <c r="C2046" t="s">
        <v>1824</v>
      </c>
    </row>
    <row r="2047" spans="1:3" x14ac:dyDescent="0.25">
      <c r="A2047" t="str">
        <f t="shared" si="69"/>
        <v>51</v>
      </c>
      <c r="B2047" t="str">
        <f>"51.2010"</f>
        <v>51.2010</v>
      </c>
      <c r="C2047" t="s">
        <v>1825</v>
      </c>
    </row>
    <row r="2048" spans="1:3" x14ac:dyDescent="0.25">
      <c r="A2048" t="str">
        <f t="shared" si="69"/>
        <v>51</v>
      </c>
      <c r="B2048" t="str">
        <f>"51.2011"</f>
        <v>51.2011</v>
      </c>
      <c r="C2048" t="s">
        <v>1826</v>
      </c>
    </row>
    <row r="2049" spans="1:3" x14ac:dyDescent="0.25">
      <c r="A2049" t="str">
        <f t="shared" si="69"/>
        <v>51</v>
      </c>
      <c r="B2049" t="str">
        <f>"51.2099"</f>
        <v>51.2099</v>
      </c>
      <c r="C2049" t="s">
        <v>1827</v>
      </c>
    </row>
    <row r="2050" spans="1:3" x14ac:dyDescent="0.25">
      <c r="A2050" t="str">
        <f t="shared" si="69"/>
        <v>51</v>
      </c>
      <c r="B2050" t="str">
        <f>"51.21"</f>
        <v>51.21</v>
      </c>
      <c r="C2050" t="s">
        <v>1784</v>
      </c>
    </row>
    <row r="2051" spans="1:3" x14ac:dyDescent="0.25">
      <c r="A2051" t="str">
        <f t="shared" si="69"/>
        <v>51</v>
      </c>
      <c r="B2051" t="str">
        <f>"51.2101"</f>
        <v>51.2101</v>
      </c>
      <c r="C2051" t="s">
        <v>1784</v>
      </c>
    </row>
    <row r="2052" spans="1:3" x14ac:dyDescent="0.25">
      <c r="A2052" t="str">
        <f t="shared" si="69"/>
        <v>51</v>
      </c>
      <c r="B2052" t="str">
        <f>"51.22"</f>
        <v>51.22</v>
      </c>
      <c r="C2052" t="s">
        <v>1828</v>
      </c>
    </row>
    <row r="2053" spans="1:3" x14ac:dyDescent="0.25">
      <c r="A2053" t="str">
        <f t="shared" si="69"/>
        <v>51</v>
      </c>
      <c r="B2053" t="str">
        <f>"51.2201"</f>
        <v>51.2201</v>
      </c>
      <c r="C2053" t="s">
        <v>1829</v>
      </c>
    </row>
    <row r="2054" spans="1:3" x14ac:dyDescent="0.25">
      <c r="A2054" t="str">
        <f t="shared" si="69"/>
        <v>51</v>
      </c>
      <c r="B2054" t="str">
        <f>"51.2202"</f>
        <v>51.2202</v>
      </c>
      <c r="C2054" t="s">
        <v>1830</v>
      </c>
    </row>
    <row r="2055" spans="1:3" x14ac:dyDescent="0.25">
      <c r="A2055" t="str">
        <f t="shared" si="69"/>
        <v>51</v>
      </c>
      <c r="B2055" t="str">
        <f>"51.2205"</f>
        <v>51.2205</v>
      </c>
      <c r="C2055" t="s">
        <v>1831</v>
      </c>
    </row>
    <row r="2056" spans="1:3" x14ac:dyDescent="0.25">
      <c r="A2056" t="str">
        <f t="shared" si="69"/>
        <v>51</v>
      </c>
      <c r="B2056" t="str">
        <f>"51.2206"</f>
        <v>51.2206</v>
      </c>
      <c r="C2056" t="s">
        <v>1832</v>
      </c>
    </row>
    <row r="2057" spans="1:3" x14ac:dyDescent="0.25">
      <c r="A2057" t="str">
        <f t="shared" si="69"/>
        <v>51</v>
      </c>
      <c r="B2057" t="str">
        <f>"51.2207"</f>
        <v>51.2207</v>
      </c>
      <c r="C2057" t="s">
        <v>1833</v>
      </c>
    </row>
    <row r="2058" spans="1:3" x14ac:dyDescent="0.25">
      <c r="A2058" t="str">
        <f t="shared" si="69"/>
        <v>51</v>
      </c>
      <c r="B2058" t="str">
        <f>"51.2208"</f>
        <v>51.2208</v>
      </c>
      <c r="C2058" t="s">
        <v>1834</v>
      </c>
    </row>
    <row r="2059" spans="1:3" x14ac:dyDescent="0.25">
      <c r="A2059" t="str">
        <f t="shared" si="69"/>
        <v>51</v>
      </c>
      <c r="B2059" t="str">
        <f>"51.2209"</f>
        <v>51.2209</v>
      </c>
      <c r="C2059" t="s">
        <v>1835</v>
      </c>
    </row>
    <row r="2060" spans="1:3" x14ac:dyDescent="0.25">
      <c r="A2060" t="str">
        <f t="shared" si="69"/>
        <v>51</v>
      </c>
      <c r="B2060" t="str">
        <f>"51.2210"</f>
        <v>51.2210</v>
      </c>
      <c r="C2060" t="s">
        <v>1836</v>
      </c>
    </row>
    <row r="2061" spans="1:3" x14ac:dyDescent="0.25">
      <c r="A2061" t="str">
        <f t="shared" si="69"/>
        <v>51</v>
      </c>
      <c r="B2061" t="str">
        <f>"51.2211"</f>
        <v>51.2211</v>
      </c>
      <c r="C2061" t="s">
        <v>1837</v>
      </c>
    </row>
    <row r="2062" spans="1:3" x14ac:dyDescent="0.25">
      <c r="A2062" t="str">
        <f t="shared" ref="A2062:A2125" si="70">"51"</f>
        <v>51</v>
      </c>
      <c r="B2062" t="str">
        <f>"51.2212"</f>
        <v>51.2212</v>
      </c>
      <c r="C2062" t="s">
        <v>1838</v>
      </c>
    </row>
    <row r="2063" spans="1:3" x14ac:dyDescent="0.25">
      <c r="A2063" t="str">
        <f t="shared" si="70"/>
        <v>51</v>
      </c>
      <c r="B2063" t="str">
        <f>"51.2213"</f>
        <v>51.2213</v>
      </c>
      <c r="C2063" t="s">
        <v>1839</v>
      </c>
    </row>
    <row r="2064" spans="1:3" x14ac:dyDescent="0.25">
      <c r="A2064" t="str">
        <f t="shared" si="70"/>
        <v>51</v>
      </c>
      <c r="B2064" t="str">
        <f>"51.2214"</f>
        <v>51.2214</v>
      </c>
      <c r="C2064" t="s">
        <v>1840</v>
      </c>
    </row>
    <row r="2065" spans="1:3" x14ac:dyDescent="0.25">
      <c r="A2065" t="str">
        <f t="shared" si="70"/>
        <v>51</v>
      </c>
      <c r="B2065" t="str">
        <f>"51.2280"</f>
        <v>51.2280</v>
      </c>
      <c r="C2065" t="s">
        <v>31</v>
      </c>
    </row>
    <row r="2066" spans="1:3" x14ac:dyDescent="0.25">
      <c r="A2066" t="str">
        <f t="shared" si="70"/>
        <v>51</v>
      </c>
      <c r="B2066" t="str">
        <f>"51.2299"</f>
        <v>51.2299</v>
      </c>
      <c r="C2066" t="s">
        <v>1841</v>
      </c>
    </row>
    <row r="2067" spans="1:3" x14ac:dyDescent="0.25">
      <c r="A2067" t="str">
        <f t="shared" si="70"/>
        <v>51</v>
      </c>
      <c r="B2067" t="str">
        <f>"51.23"</f>
        <v>51.23</v>
      </c>
      <c r="C2067" t="s">
        <v>1842</v>
      </c>
    </row>
    <row r="2068" spans="1:3" x14ac:dyDescent="0.25">
      <c r="A2068" t="str">
        <f t="shared" si="70"/>
        <v>51</v>
      </c>
      <c r="B2068" t="str">
        <f>"51.2300"</f>
        <v>51.2300</v>
      </c>
      <c r="C2068" t="s">
        <v>1843</v>
      </c>
    </row>
    <row r="2069" spans="1:3" x14ac:dyDescent="0.25">
      <c r="A2069" t="str">
        <f t="shared" si="70"/>
        <v>51</v>
      </c>
      <c r="B2069" t="str">
        <f>"51.2301"</f>
        <v>51.2301</v>
      </c>
      <c r="C2069" t="s">
        <v>1844</v>
      </c>
    </row>
    <row r="2070" spans="1:3" x14ac:dyDescent="0.25">
      <c r="A2070" t="str">
        <f t="shared" si="70"/>
        <v>51</v>
      </c>
      <c r="B2070" t="str">
        <f>"51.2302"</f>
        <v>51.2302</v>
      </c>
      <c r="C2070" t="s">
        <v>1845</v>
      </c>
    </row>
    <row r="2071" spans="1:3" x14ac:dyDescent="0.25">
      <c r="A2071" t="str">
        <f t="shared" si="70"/>
        <v>51</v>
      </c>
      <c r="B2071" t="str">
        <f>"51.2305"</f>
        <v>51.2305</v>
      </c>
      <c r="C2071" t="s">
        <v>1846</v>
      </c>
    </row>
    <row r="2072" spans="1:3" x14ac:dyDescent="0.25">
      <c r="A2072" t="str">
        <f t="shared" si="70"/>
        <v>51</v>
      </c>
      <c r="B2072" t="str">
        <f>"51.2306"</f>
        <v>51.2306</v>
      </c>
      <c r="C2072" t="s">
        <v>1847</v>
      </c>
    </row>
    <row r="2073" spans="1:3" x14ac:dyDescent="0.25">
      <c r="A2073" t="str">
        <f t="shared" si="70"/>
        <v>51</v>
      </c>
      <c r="B2073" t="str">
        <f>"51.2307"</f>
        <v>51.2307</v>
      </c>
      <c r="C2073" t="s">
        <v>1848</v>
      </c>
    </row>
    <row r="2074" spans="1:3" x14ac:dyDescent="0.25">
      <c r="A2074" t="str">
        <f t="shared" si="70"/>
        <v>51</v>
      </c>
      <c r="B2074" t="str">
        <f>"51.2308"</f>
        <v>51.2308</v>
      </c>
      <c r="C2074" t="s">
        <v>1849</v>
      </c>
    </row>
    <row r="2075" spans="1:3" x14ac:dyDescent="0.25">
      <c r="A2075" t="str">
        <f t="shared" si="70"/>
        <v>51</v>
      </c>
      <c r="B2075" t="str">
        <f>"51.2309"</f>
        <v>51.2309</v>
      </c>
      <c r="C2075" t="s">
        <v>1850</v>
      </c>
    </row>
    <row r="2076" spans="1:3" x14ac:dyDescent="0.25">
      <c r="A2076" t="str">
        <f t="shared" si="70"/>
        <v>51</v>
      </c>
      <c r="B2076" t="str">
        <f>"51.2310"</f>
        <v>51.2310</v>
      </c>
      <c r="C2076" t="s">
        <v>1851</v>
      </c>
    </row>
    <row r="2077" spans="1:3" x14ac:dyDescent="0.25">
      <c r="A2077" t="str">
        <f t="shared" si="70"/>
        <v>51</v>
      </c>
      <c r="B2077" t="str">
        <f>"51.2311"</f>
        <v>51.2311</v>
      </c>
      <c r="C2077" t="s">
        <v>1852</v>
      </c>
    </row>
    <row r="2078" spans="1:3" x14ac:dyDescent="0.25">
      <c r="A2078" t="str">
        <f t="shared" si="70"/>
        <v>51</v>
      </c>
      <c r="B2078" t="str">
        <f>"51.2312"</f>
        <v>51.2312</v>
      </c>
      <c r="C2078" t="s">
        <v>1853</v>
      </c>
    </row>
    <row r="2079" spans="1:3" x14ac:dyDescent="0.25">
      <c r="A2079" t="str">
        <f t="shared" si="70"/>
        <v>51</v>
      </c>
      <c r="B2079" t="str">
        <f>"51.2313"</f>
        <v>51.2313</v>
      </c>
      <c r="C2079" t="s">
        <v>1854</v>
      </c>
    </row>
    <row r="2080" spans="1:3" x14ac:dyDescent="0.25">
      <c r="A2080" t="str">
        <f t="shared" si="70"/>
        <v>51</v>
      </c>
      <c r="B2080" t="str">
        <f>"51.2314"</f>
        <v>51.2314</v>
      </c>
      <c r="C2080" t="s">
        <v>1855</v>
      </c>
    </row>
    <row r="2081" spans="1:3" x14ac:dyDescent="0.25">
      <c r="A2081" t="str">
        <f t="shared" si="70"/>
        <v>51</v>
      </c>
      <c r="B2081" t="str">
        <f>"51.2315"</f>
        <v>51.2315</v>
      </c>
      <c r="C2081" t="s">
        <v>1856</v>
      </c>
    </row>
    <row r="2082" spans="1:3" x14ac:dyDescent="0.25">
      <c r="A2082" t="str">
        <f t="shared" si="70"/>
        <v>51</v>
      </c>
      <c r="B2082" t="str">
        <f>"51.2316"</f>
        <v>51.2316</v>
      </c>
      <c r="C2082" t="s">
        <v>1857</v>
      </c>
    </row>
    <row r="2083" spans="1:3" x14ac:dyDescent="0.25">
      <c r="A2083" t="str">
        <f t="shared" si="70"/>
        <v>51</v>
      </c>
      <c r="B2083" t="str">
        <f>"51.2317"</f>
        <v>51.2317</v>
      </c>
      <c r="C2083" t="s">
        <v>1858</v>
      </c>
    </row>
    <row r="2084" spans="1:3" x14ac:dyDescent="0.25">
      <c r="A2084" t="str">
        <f t="shared" si="70"/>
        <v>51</v>
      </c>
      <c r="B2084" t="str">
        <f>"51.2399"</f>
        <v>51.2399</v>
      </c>
      <c r="C2084" t="s">
        <v>1859</v>
      </c>
    </row>
    <row r="2085" spans="1:3" x14ac:dyDescent="0.25">
      <c r="A2085" t="str">
        <f t="shared" si="70"/>
        <v>51</v>
      </c>
      <c r="B2085" t="str">
        <f>"51.24"</f>
        <v>51.24</v>
      </c>
      <c r="C2085" t="s">
        <v>86</v>
      </c>
    </row>
    <row r="2086" spans="1:3" x14ac:dyDescent="0.25">
      <c r="A2086" t="str">
        <f t="shared" si="70"/>
        <v>51</v>
      </c>
      <c r="B2086" t="str">
        <f>"51.2401"</f>
        <v>51.2401</v>
      </c>
      <c r="C2086" t="s">
        <v>86</v>
      </c>
    </row>
    <row r="2087" spans="1:3" x14ac:dyDescent="0.25">
      <c r="A2087" t="str">
        <f t="shared" si="70"/>
        <v>51</v>
      </c>
      <c r="B2087" t="str">
        <f>"51.25"</f>
        <v>51.25</v>
      </c>
      <c r="C2087" t="s">
        <v>87</v>
      </c>
    </row>
    <row r="2088" spans="1:3" x14ac:dyDescent="0.25">
      <c r="A2088" t="str">
        <f t="shared" si="70"/>
        <v>51</v>
      </c>
      <c r="B2088" t="str">
        <f>"51.2501"</f>
        <v>51.2501</v>
      </c>
      <c r="C2088" t="s">
        <v>88</v>
      </c>
    </row>
    <row r="2089" spans="1:3" x14ac:dyDescent="0.25">
      <c r="A2089" t="str">
        <f t="shared" si="70"/>
        <v>51</v>
      </c>
      <c r="B2089" t="str">
        <f>"51.2502"</f>
        <v>51.2502</v>
      </c>
      <c r="C2089" t="s">
        <v>92</v>
      </c>
    </row>
    <row r="2090" spans="1:3" x14ac:dyDescent="0.25">
      <c r="A2090" t="str">
        <f t="shared" si="70"/>
        <v>51</v>
      </c>
      <c r="B2090" t="str">
        <f>"51.2503"</f>
        <v>51.2503</v>
      </c>
      <c r="C2090" t="s">
        <v>96</v>
      </c>
    </row>
    <row r="2091" spans="1:3" x14ac:dyDescent="0.25">
      <c r="A2091" t="str">
        <f t="shared" si="70"/>
        <v>51</v>
      </c>
      <c r="B2091" t="str">
        <f>"51.2504"</f>
        <v>51.2504</v>
      </c>
      <c r="C2091" t="s">
        <v>94</v>
      </c>
    </row>
    <row r="2092" spans="1:3" x14ac:dyDescent="0.25">
      <c r="A2092" t="str">
        <f t="shared" si="70"/>
        <v>51</v>
      </c>
      <c r="B2092" t="str">
        <f>"51.2505"</f>
        <v>51.2505</v>
      </c>
      <c r="C2092" t="s">
        <v>95</v>
      </c>
    </row>
    <row r="2093" spans="1:3" x14ac:dyDescent="0.25">
      <c r="A2093" t="str">
        <f t="shared" si="70"/>
        <v>51</v>
      </c>
      <c r="B2093" t="str">
        <f>"51.2506"</f>
        <v>51.2506</v>
      </c>
      <c r="C2093" t="s">
        <v>98</v>
      </c>
    </row>
    <row r="2094" spans="1:3" x14ac:dyDescent="0.25">
      <c r="A2094" t="str">
        <f t="shared" si="70"/>
        <v>51</v>
      </c>
      <c r="B2094" t="str">
        <f>"51.2507"</f>
        <v>51.2507</v>
      </c>
      <c r="C2094" t="s">
        <v>90</v>
      </c>
    </row>
    <row r="2095" spans="1:3" x14ac:dyDescent="0.25">
      <c r="A2095" t="str">
        <f t="shared" si="70"/>
        <v>51</v>
      </c>
      <c r="B2095" t="str">
        <f>"51.2508"</f>
        <v>51.2508</v>
      </c>
      <c r="C2095" t="s">
        <v>91</v>
      </c>
    </row>
    <row r="2096" spans="1:3" x14ac:dyDescent="0.25">
      <c r="A2096" t="str">
        <f t="shared" si="70"/>
        <v>51</v>
      </c>
      <c r="B2096" t="str">
        <f>"51.2509"</f>
        <v>51.2509</v>
      </c>
      <c r="C2096" t="s">
        <v>89</v>
      </c>
    </row>
    <row r="2097" spans="1:3" x14ac:dyDescent="0.25">
      <c r="A2097" t="str">
        <f t="shared" si="70"/>
        <v>51</v>
      </c>
      <c r="B2097" t="str">
        <f>"51.2510"</f>
        <v>51.2510</v>
      </c>
      <c r="C2097" t="s">
        <v>97</v>
      </c>
    </row>
    <row r="2098" spans="1:3" x14ac:dyDescent="0.25">
      <c r="A2098" t="str">
        <f t="shared" si="70"/>
        <v>51</v>
      </c>
      <c r="B2098" t="str">
        <f>"51.2511"</f>
        <v>51.2511</v>
      </c>
      <c r="C2098" t="s">
        <v>93</v>
      </c>
    </row>
    <row r="2099" spans="1:3" x14ac:dyDescent="0.25">
      <c r="A2099" t="str">
        <f t="shared" si="70"/>
        <v>51</v>
      </c>
      <c r="B2099" t="str">
        <f>"51.2599"</f>
        <v>51.2599</v>
      </c>
      <c r="C2099" t="s">
        <v>99</v>
      </c>
    </row>
    <row r="2100" spans="1:3" x14ac:dyDescent="0.25">
      <c r="A2100" t="str">
        <f t="shared" si="70"/>
        <v>51</v>
      </c>
      <c r="B2100" t="str">
        <f>"51.26"</f>
        <v>51.26</v>
      </c>
      <c r="C2100" t="s">
        <v>1860</v>
      </c>
    </row>
    <row r="2101" spans="1:3" x14ac:dyDescent="0.25">
      <c r="A2101" t="str">
        <f t="shared" si="70"/>
        <v>51</v>
      </c>
      <c r="B2101" t="str">
        <f>"51.2601"</f>
        <v>51.2601</v>
      </c>
      <c r="C2101" t="s">
        <v>1861</v>
      </c>
    </row>
    <row r="2102" spans="1:3" x14ac:dyDescent="0.25">
      <c r="A2102" t="str">
        <f t="shared" si="70"/>
        <v>51</v>
      </c>
      <c r="B2102" t="str">
        <f>"51.2602"</f>
        <v>51.2602</v>
      </c>
      <c r="C2102" t="s">
        <v>1862</v>
      </c>
    </row>
    <row r="2103" spans="1:3" x14ac:dyDescent="0.25">
      <c r="A2103" t="str">
        <f t="shared" si="70"/>
        <v>51</v>
      </c>
      <c r="B2103" t="str">
        <f>"51.2603"</f>
        <v>51.2603</v>
      </c>
      <c r="C2103" t="s">
        <v>1863</v>
      </c>
    </row>
    <row r="2104" spans="1:3" x14ac:dyDescent="0.25">
      <c r="A2104" t="str">
        <f t="shared" si="70"/>
        <v>51</v>
      </c>
      <c r="B2104" t="str">
        <f>"51.2604"</f>
        <v>51.2604</v>
      </c>
      <c r="C2104" t="s">
        <v>1864</v>
      </c>
    </row>
    <row r="2105" spans="1:3" x14ac:dyDescent="0.25">
      <c r="A2105" t="str">
        <f t="shared" si="70"/>
        <v>51</v>
      </c>
      <c r="B2105" t="str">
        <f>"51.2605"</f>
        <v>51.2605</v>
      </c>
      <c r="C2105" t="s">
        <v>1865</v>
      </c>
    </row>
    <row r="2106" spans="1:3" x14ac:dyDescent="0.25">
      <c r="A2106" t="str">
        <f t="shared" si="70"/>
        <v>51</v>
      </c>
      <c r="B2106" t="str">
        <f>"51.2699"</f>
        <v>51.2699</v>
      </c>
      <c r="C2106" t="s">
        <v>1866</v>
      </c>
    </row>
    <row r="2107" spans="1:3" x14ac:dyDescent="0.25">
      <c r="A2107" t="str">
        <f t="shared" si="70"/>
        <v>51</v>
      </c>
      <c r="B2107" t="str">
        <f>"51.27"</f>
        <v>51.27</v>
      </c>
      <c r="C2107" t="s">
        <v>1867</v>
      </c>
    </row>
    <row r="2108" spans="1:3" x14ac:dyDescent="0.25">
      <c r="A2108" t="str">
        <f t="shared" si="70"/>
        <v>51</v>
      </c>
      <c r="B2108" t="str">
        <f>"51.2703"</f>
        <v>51.2703</v>
      </c>
      <c r="C2108" t="s">
        <v>1868</v>
      </c>
    </row>
    <row r="2109" spans="1:3" x14ac:dyDescent="0.25">
      <c r="A2109" t="str">
        <f t="shared" si="70"/>
        <v>51</v>
      </c>
      <c r="B2109" t="str">
        <f>"51.2706"</f>
        <v>51.2706</v>
      </c>
      <c r="C2109" t="s">
        <v>1869</v>
      </c>
    </row>
    <row r="2110" spans="1:3" x14ac:dyDescent="0.25">
      <c r="A2110" t="str">
        <f t="shared" si="70"/>
        <v>51</v>
      </c>
      <c r="B2110" t="str">
        <f>"51.2799"</f>
        <v>51.2799</v>
      </c>
      <c r="C2110" t="s">
        <v>1870</v>
      </c>
    </row>
    <row r="2111" spans="1:3" x14ac:dyDescent="0.25">
      <c r="A2111" t="str">
        <f t="shared" si="70"/>
        <v>51</v>
      </c>
      <c r="B2111" t="str">
        <f>"51.31"</f>
        <v>51.31</v>
      </c>
      <c r="C2111" t="s">
        <v>1871</v>
      </c>
    </row>
    <row r="2112" spans="1:3" x14ac:dyDescent="0.25">
      <c r="A2112" t="str">
        <f t="shared" si="70"/>
        <v>51</v>
      </c>
      <c r="B2112" t="str">
        <f>"51.3101"</f>
        <v>51.3101</v>
      </c>
      <c r="C2112" t="s">
        <v>1872</v>
      </c>
    </row>
    <row r="2113" spans="1:3" x14ac:dyDescent="0.25">
      <c r="A2113" t="str">
        <f t="shared" si="70"/>
        <v>51</v>
      </c>
      <c r="B2113" t="str">
        <f>"51.3102"</f>
        <v>51.3102</v>
      </c>
      <c r="C2113" t="s">
        <v>1873</v>
      </c>
    </row>
    <row r="2114" spans="1:3" x14ac:dyDescent="0.25">
      <c r="A2114" t="str">
        <f t="shared" si="70"/>
        <v>51</v>
      </c>
      <c r="B2114" t="str">
        <f>"51.3103"</f>
        <v>51.3103</v>
      </c>
      <c r="C2114" t="s">
        <v>1874</v>
      </c>
    </row>
    <row r="2115" spans="1:3" x14ac:dyDescent="0.25">
      <c r="A2115" t="str">
        <f t="shared" si="70"/>
        <v>51</v>
      </c>
      <c r="B2115" t="str">
        <f>"51.3104"</f>
        <v>51.3104</v>
      </c>
      <c r="C2115" t="s">
        <v>1875</v>
      </c>
    </row>
    <row r="2116" spans="1:3" x14ac:dyDescent="0.25">
      <c r="A2116" t="str">
        <f t="shared" si="70"/>
        <v>51</v>
      </c>
      <c r="B2116" t="str">
        <f>"51.3199"</f>
        <v>51.3199</v>
      </c>
      <c r="C2116" t="s">
        <v>1876</v>
      </c>
    </row>
    <row r="2117" spans="1:3" x14ac:dyDescent="0.25">
      <c r="A2117" t="str">
        <f t="shared" si="70"/>
        <v>51</v>
      </c>
      <c r="B2117" t="str">
        <f>"51.32"</f>
        <v>51.32</v>
      </c>
      <c r="C2117" t="s">
        <v>1877</v>
      </c>
    </row>
    <row r="2118" spans="1:3" x14ac:dyDescent="0.25">
      <c r="A2118" t="str">
        <f t="shared" si="70"/>
        <v>51</v>
      </c>
      <c r="B2118" t="str">
        <f>"51.3201"</f>
        <v>51.3201</v>
      </c>
      <c r="C2118" t="s">
        <v>1878</v>
      </c>
    </row>
    <row r="2119" spans="1:3" x14ac:dyDescent="0.25">
      <c r="A2119" t="str">
        <f t="shared" si="70"/>
        <v>51</v>
      </c>
      <c r="B2119" t="str">
        <f>"51.3202"</f>
        <v>51.3202</v>
      </c>
      <c r="C2119" t="s">
        <v>1879</v>
      </c>
    </row>
    <row r="2120" spans="1:3" x14ac:dyDescent="0.25">
      <c r="A2120" t="str">
        <f t="shared" si="70"/>
        <v>51</v>
      </c>
      <c r="B2120" t="str">
        <f>"51.3203"</f>
        <v>51.3203</v>
      </c>
      <c r="C2120" t="s">
        <v>1880</v>
      </c>
    </row>
    <row r="2121" spans="1:3" x14ac:dyDescent="0.25">
      <c r="A2121" t="str">
        <f t="shared" si="70"/>
        <v>51</v>
      </c>
      <c r="B2121" t="str">
        <f>"51.3204"</f>
        <v>51.3204</v>
      </c>
      <c r="C2121" t="s">
        <v>1881</v>
      </c>
    </row>
    <row r="2122" spans="1:3" x14ac:dyDescent="0.25">
      <c r="A2122" t="str">
        <f t="shared" si="70"/>
        <v>51</v>
      </c>
      <c r="B2122" t="str">
        <f>"51.3205"</f>
        <v>51.3205</v>
      </c>
      <c r="C2122" t="s">
        <v>1882</v>
      </c>
    </row>
    <row r="2123" spans="1:3" x14ac:dyDescent="0.25">
      <c r="A2123" t="str">
        <f t="shared" si="70"/>
        <v>51</v>
      </c>
      <c r="B2123" t="str">
        <f>"51.3206"</f>
        <v>51.3206</v>
      </c>
      <c r="C2123" t="s">
        <v>1883</v>
      </c>
    </row>
    <row r="2124" spans="1:3" x14ac:dyDescent="0.25">
      <c r="A2124" t="str">
        <f t="shared" si="70"/>
        <v>51</v>
      </c>
      <c r="B2124" t="str">
        <f>"51.3299"</f>
        <v>51.3299</v>
      </c>
      <c r="C2124" t="s">
        <v>1884</v>
      </c>
    </row>
    <row r="2125" spans="1:3" x14ac:dyDescent="0.25">
      <c r="A2125" t="str">
        <f t="shared" si="70"/>
        <v>51</v>
      </c>
      <c r="B2125" t="str">
        <f>"51.33"</f>
        <v>51.33</v>
      </c>
      <c r="C2125" t="s">
        <v>1885</v>
      </c>
    </row>
    <row r="2126" spans="1:3" x14ac:dyDescent="0.25">
      <c r="A2126" t="str">
        <f t="shared" ref="A2126:A2185" si="71">"51"</f>
        <v>51</v>
      </c>
      <c r="B2126" t="str">
        <f>"51.3300"</f>
        <v>51.3300</v>
      </c>
      <c r="C2126" t="s">
        <v>1886</v>
      </c>
    </row>
    <row r="2127" spans="1:3" x14ac:dyDescent="0.25">
      <c r="A2127" t="str">
        <f t="shared" si="71"/>
        <v>51</v>
      </c>
      <c r="B2127" t="str">
        <f>"51.3301"</f>
        <v>51.3301</v>
      </c>
      <c r="C2127" t="s">
        <v>1887</v>
      </c>
    </row>
    <row r="2128" spans="1:3" x14ac:dyDescent="0.25">
      <c r="A2128" t="str">
        <f t="shared" si="71"/>
        <v>51</v>
      </c>
      <c r="B2128" t="str">
        <f>"51.3302"</f>
        <v>51.3302</v>
      </c>
      <c r="C2128" t="s">
        <v>1888</v>
      </c>
    </row>
    <row r="2129" spans="1:3" x14ac:dyDescent="0.25">
      <c r="A2129" t="str">
        <f t="shared" si="71"/>
        <v>51</v>
      </c>
      <c r="B2129" t="str">
        <f>"51.3303"</f>
        <v>51.3303</v>
      </c>
      <c r="C2129" t="s">
        <v>1889</v>
      </c>
    </row>
    <row r="2130" spans="1:3" x14ac:dyDescent="0.25">
      <c r="A2130" t="str">
        <f t="shared" si="71"/>
        <v>51</v>
      </c>
      <c r="B2130" t="str">
        <f>"51.3304"</f>
        <v>51.3304</v>
      </c>
      <c r="C2130" t="s">
        <v>1890</v>
      </c>
    </row>
    <row r="2131" spans="1:3" x14ac:dyDescent="0.25">
      <c r="A2131" t="str">
        <f t="shared" si="71"/>
        <v>51</v>
      </c>
      <c r="B2131" t="str">
        <f>"51.3305"</f>
        <v>51.3305</v>
      </c>
      <c r="C2131" t="s">
        <v>1891</v>
      </c>
    </row>
    <row r="2132" spans="1:3" x14ac:dyDescent="0.25">
      <c r="A2132" t="str">
        <f t="shared" si="71"/>
        <v>51</v>
      </c>
      <c r="B2132" t="str">
        <f>"51.3306"</f>
        <v>51.3306</v>
      </c>
      <c r="C2132" t="s">
        <v>1892</v>
      </c>
    </row>
    <row r="2133" spans="1:3" x14ac:dyDescent="0.25">
      <c r="A2133" t="str">
        <f t="shared" si="71"/>
        <v>51</v>
      </c>
      <c r="B2133" t="str">
        <f>"51.3399"</f>
        <v>51.3399</v>
      </c>
      <c r="C2133" t="s">
        <v>1893</v>
      </c>
    </row>
    <row r="2134" spans="1:3" x14ac:dyDescent="0.25">
      <c r="A2134" t="str">
        <f t="shared" si="71"/>
        <v>51</v>
      </c>
      <c r="B2134" t="str">
        <f>"51.34"</f>
        <v>51.34</v>
      </c>
      <c r="C2134" t="s">
        <v>1894</v>
      </c>
    </row>
    <row r="2135" spans="1:3" x14ac:dyDescent="0.25">
      <c r="A2135" t="str">
        <f t="shared" si="71"/>
        <v>51</v>
      </c>
      <c r="B2135" t="str">
        <f>"51.3401"</f>
        <v>51.3401</v>
      </c>
      <c r="C2135" t="s">
        <v>1895</v>
      </c>
    </row>
    <row r="2136" spans="1:3" x14ac:dyDescent="0.25">
      <c r="A2136" t="str">
        <f t="shared" si="71"/>
        <v>51</v>
      </c>
      <c r="B2136" t="str">
        <f>"51.3499"</f>
        <v>51.3499</v>
      </c>
      <c r="C2136" t="s">
        <v>1896</v>
      </c>
    </row>
    <row r="2137" spans="1:3" x14ac:dyDescent="0.25">
      <c r="A2137" t="str">
        <f t="shared" si="71"/>
        <v>51</v>
      </c>
      <c r="B2137" t="str">
        <f>"51.35"</f>
        <v>51.35</v>
      </c>
      <c r="C2137" t="s">
        <v>1897</v>
      </c>
    </row>
    <row r="2138" spans="1:3" x14ac:dyDescent="0.25">
      <c r="A2138" t="str">
        <f t="shared" si="71"/>
        <v>51</v>
      </c>
      <c r="B2138" t="str">
        <f>"51.3501"</f>
        <v>51.3501</v>
      </c>
      <c r="C2138" t="s">
        <v>1898</v>
      </c>
    </row>
    <row r="2139" spans="1:3" x14ac:dyDescent="0.25">
      <c r="A2139" t="str">
        <f t="shared" si="71"/>
        <v>51</v>
      </c>
      <c r="B2139" t="str">
        <f>"51.3502"</f>
        <v>51.3502</v>
      </c>
      <c r="C2139" t="s">
        <v>1899</v>
      </c>
    </row>
    <row r="2140" spans="1:3" x14ac:dyDescent="0.25">
      <c r="A2140" t="str">
        <f t="shared" si="71"/>
        <v>51</v>
      </c>
      <c r="B2140" t="str">
        <f>"51.3503"</f>
        <v>51.3503</v>
      </c>
      <c r="C2140" t="s">
        <v>1900</v>
      </c>
    </row>
    <row r="2141" spans="1:3" x14ac:dyDescent="0.25">
      <c r="A2141" t="str">
        <f t="shared" si="71"/>
        <v>51</v>
      </c>
      <c r="B2141" t="str">
        <f>"51.3599"</f>
        <v>51.3599</v>
      </c>
      <c r="C2141" t="s">
        <v>1901</v>
      </c>
    </row>
    <row r="2142" spans="1:3" x14ac:dyDescent="0.25">
      <c r="A2142" t="str">
        <f t="shared" si="71"/>
        <v>51</v>
      </c>
      <c r="B2142" t="str">
        <f>"51.36"</f>
        <v>51.36</v>
      </c>
      <c r="C2142" t="s">
        <v>1902</v>
      </c>
    </row>
    <row r="2143" spans="1:3" x14ac:dyDescent="0.25">
      <c r="A2143" t="str">
        <f t="shared" si="71"/>
        <v>51</v>
      </c>
      <c r="B2143" t="str">
        <f>"51.3601"</f>
        <v>51.3601</v>
      </c>
      <c r="C2143" t="s">
        <v>1903</v>
      </c>
    </row>
    <row r="2144" spans="1:3" x14ac:dyDescent="0.25">
      <c r="A2144" t="str">
        <f t="shared" si="71"/>
        <v>51</v>
      </c>
      <c r="B2144" t="str">
        <f>"51.3602"</f>
        <v>51.3602</v>
      </c>
      <c r="C2144" t="s">
        <v>1904</v>
      </c>
    </row>
    <row r="2145" spans="1:3" x14ac:dyDescent="0.25">
      <c r="A2145" t="str">
        <f t="shared" si="71"/>
        <v>51</v>
      </c>
      <c r="B2145" t="str">
        <f>"51.3603"</f>
        <v>51.3603</v>
      </c>
      <c r="C2145" t="s">
        <v>1905</v>
      </c>
    </row>
    <row r="2146" spans="1:3" x14ac:dyDescent="0.25">
      <c r="A2146" t="str">
        <f t="shared" si="71"/>
        <v>51</v>
      </c>
      <c r="B2146" t="str">
        <f>"51.3699"</f>
        <v>51.3699</v>
      </c>
      <c r="C2146" t="s">
        <v>1906</v>
      </c>
    </row>
    <row r="2147" spans="1:3" x14ac:dyDescent="0.25">
      <c r="A2147" t="str">
        <f t="shared" si="71"/>
        <v>51</v>
      </c>
      <c r="B2147" t="str">
        <f>"51.37"</f>
        <v>51.37</v>
      </c>
      <c r="C2147" t="s">
        <v>1907</v>
      </c>
    </row>
    <row r="2148" spans="1:3" x14ac:dyDescent="0.25">
      <c r="A2148" t="str">
        <f t="shared" si="71"/>
        <v>51</v>
      </c>
      <c r="B2148" t="str">
        <f>"51.3701"</f>
        <v>51.3701</v>
      </c>
      <c r="C2148" t="s">
        <v>1908</v>
      </c>
    </row>
    <row r="2149" spans="1:3" x14ac:dyDescent="0.25">
      <c r="A2149" t="str">
        <f t="shared" si="71"/>
        <v>51</v>
      </c>
      <c r="B2149" t="str">
        <f>"51.3702"</f>
        <v>51.3702</v>
      </c>
      <c r="C2149" t="s">
        <v>1909</v>
      </c>
    </row>
    <row r="2150" spans="1:3" x14ac:dyDescent="0.25">
      <c r="A2150" t="str">
        <f t="shared" si="71"/>
        <v>51</v>
      </c>
      <c r="B2150" t="str">
        <f>"51.3703"</f>
        <v>51.3703</v>
      </c>
      <c r="C2150" t="s">
        <v>1910</v>
      </c>
    </row>
    <row r="2151" spans="1:3" x14ac:dyDescent="0.25">
      <c r="A2151" t="str">
        <f t="shared" si="71"/>
        <v>51</v>
      </c>
      <c r="B2151" t="str">
        <f>"51.3704"</f>
        <v>51.3704</v>
      </c>
      <c r="C2151" t="s">
        <v>1911</v>
      </c>
    </row>
    <row r="2152" spans="1:3" x14ac:dyDescent="0.25">
      <c r="A2152" t="str">
        <f t="shared" si="71"/>
        <v>51</v>
      </c>
      <c r="B2152" t="str">
        <f>"51.3799"</f>
        <v>51.3799</v>
      </c>
      <c r="C2152" t="s">
        <v>1912</v>
      </c>
    </row>
    <row r="2153" spans="1:3" x14ac:dyDescent="0.25">
      <c r="A2153" t="str">
        <f t="shared" si="71"/>
        <v>51</v>
      </c>
      <c r="B2153" t="str">
        <f>"51.38"</f>
        <v>51.38</v>
      </c>
      <c r="C2153" t="s">
        <v>1913</v>
      </c>
    </row>
    <row r="2154" spans="1:3" x14ac:dyDescent="0.25">
      <c r="A2154" t="str">
        <f t="shared" si="71"/>
        <v>51</v>
      </c>
      <c r="B2154" t="str">
        <f>"51.3801"</f>
        <v>51.3801</v>
      </c>
      <c r="C2154" t="s">
        <v>1914</v>
      </c>
    </row>
    <row r="2155" spans="1:3" x14ac:dyDescent="0.25">
      <c r="A2155" t="str">
        <f t="shared" si="71"/>
        <v>51</v>
      </c>
      <c r="B2155" t="str">
        <f>"51.3802"</f>
        <v>51.3802</v>
      </c>
      <c r="C2155" t="s">
        <v>1915</v>
      </c>
    </row>
    <row r="2156" spans="1:3" x14ac:dyDescent="0.25">
      <c r="A2156" t="str">
        <f t="shared" si="71"/>
        <v>51</v>
      </c>
      <c r="B2156" t="str">
        <f>"51.3803"</f>
        <v>51.3803</v>
      </c>
      <c r="C2156" t="s">
        <v>1916</v>
      </c>
    </row>
    <row r="2157" spans="1:3" x14ac:dyDescent="0.25">
      <c r="A2157" t="str">
        <f t="shared" si="71"/>
        <v>51</v>
      </c>
      <c r="B2157" t="str">
        <f>"51.3804"</f>
        <v>51.3804</v>
      </c>
      <c r="C2157" t="s">
        <v>1917</v>
      </c>
    </row>
    <row r="2158" spans="1:3" x14ac:dyDescent="0.25">
      <c r="A2158" t="str">
        <f t="shared" si="71"/>
        <v>51</v>
      </c>
      <c r="B2158" t="str">
        <f>"51.3805"</f>
        <v>51.3805</v>
      </c>
      <c r="C2158" t="s">
        <v>1918</v>
      </c>
    </row>
    <row r="2159" spans="1:3" x14ac:dyDescent="0.25">
      <c r="A2159" t="str">
        <f t="shared" si="71"/>
        <v>51</v>
      </c>
      <c r="B2159" t="str">
        <f>"51.3806"</f>
        <v>51.3806</v>
      </c>
      <c r="C2159" t="s">
        <v>1919</v>
      </c>
    </row>
    <row r="2160" spans="1:3" x14ac:dyDescent="0.25">
      <c r="A2160" t="str">
        <f t="shared" si="71"/>
        <v>51</v>
      </c>
      <c r="B2160" t="str">
        <f>"51.3807"</f>
        <v>51.3807</v>
      </c>
      <c r="C2160" t="s">
        <v>1920</v>
      </c>
    </row>
    <row r="2161" spans="1:3" x14ac:dyDescent="0.25">
      <c r="A2161" t="str">
        <f t="shared" si="71"/>
        <v>51</v>
      </c>
      <c r="B2161" t="str">
        <f>"51.3808"</f>
        <v>51.3808</v>
      </c>
      <c r="C2161" t="s">
        <v>1921</v>
      </c>
    </row>
    <row r="2162" spans="1:3" x14ac:dyDescent="0.25">
      <c r="A2162" t="str">
        <f t="shared" si="71"/>
        <v>51</v>
      </c>
      <c r="B2162" t="str">
        <f>"51.3809"</f>
        <v>51.3809</v>
      </c>
      <c r="C2162" t="s">
        <v>1922</v>
      </c>
    </row>
    <row r="2163" spans="1:3" x14ac:dyDescent="0.25">
      <c r="A2163" t="str">
        <f t="shared" si="71"/>
        <v>51</v>
      </c>
      <c r="B2163" t="str">
        <f>"51.3810"</f>
        <v>51.3810</v>
      </c>
      <c r="C2163" t="s">
        <v>1923</v>
      </c>
    </row>
    <row r="2164" spans="1:3" x14ac:dyDescent="0.25">
      <c r="A2164" t="str">
        <f t="shared" si="71"/>
        <v>51</v>
      </c>
      <c r="B2164" t="str">
        <f>"51.3811"</f>
        <v>51.3811</v>
      </c>
      <c r="C2164" t="s">
        <v>1924</v>
      </c>
    </row>
    <row r="2165" spans="1:3" x14ac:dyDescent="0.25">
      <c r="A2165" t="str">
        <f t="shared" si="71"/>
        <v>51</v>
      </c>
      <c r="B2165" t="str">
        <f>"51.3812"</f>
        <v>51.3812</v>
      </c>
      <c r="C2165" t="s">
        <v>1925</v>
      </c>
    </row>
    <row r="2166" spans="1:3" x14ac:dyDescent="0.25">
      <c r="A2166" t="str">
        <f t="shared" si="71"/>
        <v>51</v>
      </c>
      <c r="B2166" t="str">
        <f>"51.3813"</f>
        <v>51.3813</v>
      </c>
      <c r="C2166" t="s">
        <v>1926</v>
      </c>
    </row>
    <row r="2167" spans="1:3" x14ac:dyDescent="0.25">
      <c r="A2167" t="str">
        <f t="shared" si="71"/>
        <v>51</v>
      </c>
      <c r="B2167" t="str">
        <f>"51.3814"</f>
        <v>51.3814</v>
      </c>
      <c r="C2167" t="s">
        <v>1927</v>
      </c>
    </row>
    <row r="2168" spans="1:3" x14ac:dyDescent="0.25">
      <c r="A2168" t="str">
        <f t="shared" si="71"/>
        <v>51</v>
      </c>
      <c r="B2168" t="str">
        <f>"51.3815"</f>
        <v>51.3815</v>
      </c>
      <c r="C2168" t="s">
        <v>1928</v>
      </c>
    </row>
    <row r="2169" spans="1:3" x14ac:dyDescent="0.25">
      <c r="A2169" t="str">
        <f t="shared" si="71"/>
        <v>51</v>
      </c>
      <c r="B2169" t="str">
        <f>"51.3816"</f>
        <v>51.3816</v>
      </c>
      <c r="C2169" t="s">
        <v>1929</v>
      </c>
    </row>
    <row r="2170" spans="1:3" x14ac:dyDescent="0.25">
      <c r="A2170" t="str">
        <f t="shared" si="71"/>
        <v>51</v>
      </c>
      <c r="B2170" t="str">
        <f>"51.3817"</f>
        <v>51.3817</v>
      </c>
      <c r="C2170" t="s">
        <v>1880</v>
      </c>
    </row>
    <row r="2171" spans="1:3" x14ac:dyDescent="0.25">
      <c r="A2171" t="str">
        <f t="shared" si="71"/>
        <v>51</v>
      </c>
      <c r="B2171" t="str">
        <f>"51.3818"</f>
        <v>51.3818</v>
      </c>
      <c r="C2171" t="s">
        <v>1930</v>
      </c>
    </row>
    <row r="2172" spans="1:3" x14ac:dyDescent="0.25">
      <c r="A2172" t="str">
        <f t="shared" si="71"/>
        <v>51</v>
      </c>
      <c r="B2172" t="str">
        <f>"51.3819"</f>
        <v>51.3819</v>
      </c>
      <c r="C2172" t="s">
        <v>1931</v>
      </c>
    </row>
    <row r="2173" spans="1:3" x14ac:dyDescent="0.25">
      <c r="A2173" t="str">
        <f t="shared" si="71"/>
        <v>51</v>
      </c>
      <c r="B2173" t="str">
        <f>"51.3820"</f>
        <v>51.3820</v>
      </c>
      <c r="C2173" t="s">
        <v>1932</v>
      </c>
    </row>
    <row r="2174" spans="1:3" x14ac:dyDescent="0.25">
      <c r="A2174" t="str">
        <f t="shared" si="71"/>
        <v>51</v>
      </c>
      <c r="B2174" t="str">
        <f>"51.3821"</f>
        <v>51.3821</v>
      </c>
      <c r="C2174" t="s">
        <v>1933</v>
      </c>
    </row>
    <row r="2175" spans="1:3" x14ac:dyDescent="0.25">
      <c r="A2175" t="str">
        <f t="shared" si="71"/>
        <v>51</v>
      </c>
      <c r="B2175" t="str">
        <f>"51.3822"</f>
        <v>51.3822</v>
      </c>
      <c r="C2175" t="s">
        <v>1934</v>
      </c>
    </row>
    <row r="2176" spans="1:3" x14ac:dyDescent="0.25">
      <c r="A2176" t="str">
        <f t="shared" si="71"/>
        <v>51</v>
      </c>
      <c r="B2176" t="str">
        <f>"51.3823"</f>
        <v>51.3823</v>
      </c>
      <c r="C2176" t="s">
        <v>31</v>
      </c>
    </row>
    <row r="2177" spans="1:3" x14ac:dyDescent="0.25">
      <c r="A2177" t="str">
        <f t="shared" si="71"/>
        <v>51</v>
      </c>
      <c r="B2177" t="str">
        <f>"51.3824"</f>
        <v>51.3824</v>
      </c>
      <c r="C2177" t="s">
        <v>1935</v>
      </c>
    </row>
    <row r="2178" spans="1:3" x14ac:dyDescent="0.25">
      <c r="A2178" t="str">
        <f t="shared" si="71"/>
        <v>51</v>
      </c>
      <c r="B2178" t="str">
        <f>"51.3899"</f>
        <v>51.3899</v>
      </c>
      <c r="C2178" t="s">
        <v>1936</v>
      </c>
    </row>
    <row r="2179" spans="1:3" x14ac:dyDescent="0.25">
      <c r="A2179" t="str">
        <f t="shared" si="71"/>
        <v>51</v>
      </c>
      <c r="B2179" t="str">
        <f>"51.39"</f>
        <v>51.39</v>
      </c>
      <c r="C2179" t="s">
        <v>1937</v>
      </c>
    </row>
    <row r="2180" spans="1:3" x14ac:dyDescent="0.25">
      <c r="A2180" t="str">
        <f t="shared" si="71"/>
        <v>51</v>
      </c>
      <c r="B2180" t="str">
        <f>"51.3901"</f>
        <v>51.3901</v>
      </c>
      <c r="C2180" t="s">
        <v>1938</v>
      </c>
    </row>
    <row r="2181" spans="1:3" x14ac:dyDescent="0.25">
      <c r="A2181" t="str">
        <f t="shared" si="71"/>
        <v>51</v>
      </c>
      <c r="B2181" t="str">
        <f>"51.3902"</f>
        <v>51.3902</v>
      </c>
      <c r="C2181" t="s">
        <v>1939</v>
      </c>
    </row>
    <row r="2182" spans="1:3" x14ac:dyDescent="0.25">
      <c r="A2182" t="str">
        <f t="shared" si="71"/>
        <v>51</v>
      </c>
      <c r="B2182" t="str">
        <f>"51.3999"</f>
        <v>51.3999</v>
      </c>
      <c r="C2182" t="s">
        <v>1940</v>
      </c>
    </row>
    <row r="2183" spans="1:3" x14ac:dyDescent="0.25">
      <c r="A2183" t="str">
        <f t="shared" si="71"/>
        <v>51</v>
      </c>
      <c r="B2183" t="str">
        <f>"51.99"</f>
        <v>51.99</v>
      </c>
      <c r="C2183" t="s">
        <v>1941</v>
      </c>
    </row>
    <row r="2184" spans="1:3" x14ac:dyDescent="0.25">
      <c r="A2184" t="str">
        <f t="shared" si="71"/>
        <v>51</v>
      </c>
      <c r="B2184" t="str">
        <f>"51.9980"</f>
        <v>51.9980</v>
      </c>
      <c r="C2184" t="s">
        <v>31</v>
      </c>
    </row>
    <row r="2185" spans="1:3" x14ac:dyDescent="0.25">
      <c r="A2185" t="str">
        <f t="shared" si="71"/>
        <v>51</v>
      </c>
      <c r="B2185" t="str">
        <f>"51.9999"</f>
        <v>51.9999</v>
      </c>
      <c r="C2185" t="s">
        <v>1941</v>
      </c>
    </row>
    <row r="2186" spans="1:3" x14ac:dyDescent="0.25">
      <c r="A2186" t="str">
        <f>"52"</f>
        <v>52</v>
      </c>
      <c r="B2186" t="str">
        <f>"52"</f>
        <v>52</v>
      </c>
      <c r="C2186" t="s">
        <v>1942</v>
      </c>
    </row>
    <row r="2187" spans="1:3" x14ac:dyDescent="0.25">
      <c r="A2187" t="str">
        <f t="shared" ref="A2187:A2218" si="72">"52"</f>
        <v>52</v>
      </c>
      <c r="B2187" t="str">
        <f>"52.01"</f>
        <v>52.01</v>
      </c>
      <c r="C2187" t="s">
        <v>1943</v>
      </c>
    </row>
    <row r="2188" spans="1:3" x14ac:dyDescent="0.25">
      <c r="A2188" t="str">
        <f t="shared" si="72"/>
        <v>52</v>
      </c>
      <c r="B2188" t="str">
        <f>"52.0101"</f>
        <v>52.0101</v>
      </c>
      <c r="C2188" t="s">
        <v>1943</v>
      </c>
    </row>
    <row r="2189" spans="1:3" x14ac:dyDescent="0.25">
      <c r="A2189" t="str">
        <f t="shared" si="72"/>
        <v>52</v>
      </c>
      <c r="B2189" t="str">
        <f>"52.02"</f>
        <v>52.02</v>
      </c>
      <c r="C2189" t="s">
        <v>1944</v>
      </c>
    </row>
    <row r="2190" spans="1:3" x14ac:dyDescent="0.25">
      <c r="A2190" t="str">
        <f t="shared" si="72"/>
        <v>52</v>
      </c>
      <c r="B2190" t="str">
        <f>"52.0201"</f>
        <v>52.0201</v>
      </c>
      <c r="C2190" t="s">
        <v>1945</v>
      </c>
    </row>
    <row r="2191" spans="1:3" x14ac:dyDescent="0.25">
      <c r="A2191" t="str">
        <f t="shared" si="72"/>
        <v>52</v>
      </c>
      <c r="B2191" t="str">
        <f>"52.0202"</f>
        <v>52.0202</v>
      </c>
      <c r="C2191" t="s">
        <v>1946</v>
      </c>
    </row>
    <row r="2192" spans="1:3" x14ac:dyDescent="0.25">
      <c r="A2192" t="str">
        <f t="shared" si="72"/>
        <v>52</v>
      </c>
      <c r="B2192" t="str">
        <f>"52.0203"</f>
        <v>52.0203</v>
      </c>
      <c r="C2192" t="s">
        <v>1947</v>
      </c>
    </row>
    <row r="2193" spans="1:3" x14ac:dyDescent="0.25">
      <c r="A2193" t="str">
        <f t="shared" si="72"/>
        <v>52</v>
      </c>
      <c r="B2193" t="str">
        <f>"52.0204"</f>
        <v>52.0204</v>
      </c>
      <c r="C2193" t="s">
        <v>1948</v>
      </c>
    </row>
    <row r="2194" spans="1:3" x14ac:dyDescent="0.25">
      <c r="A2194" t="str">
        <f t="shared" si="72"/>
        <v>52</v>
      </c>
      <c r="B2194" t="str">
        <f>"52.0205"</f>
        <v>52.0205</v>
      </c>
      <c r="C2194" t="s">
        <v>1949</v>
      </c>
    </row>
    <row r="2195" spans="1:3" x14ac:dyDescent="0.25">
      <c r="A2195" t="str">
        <f t="shared" si="72"/>
        <v>52</v>
      </c>
      <c r="B2195" t="str">
        <f>"52.0206"</f>
        <v>52.0206</v>
      </c>
      <c r="C2195" t="s">
        <v>1950</v>
      </c>
    </row>
    <row r="2196" spans="1:3" x14ac:dyDescent="0.25">
      <c r="A2196" t="str">
        <f t="shared" si="72"/>
        <v>52</v>
      </c>
      <c r="B2196" t="str">
        <f>"52.0207"</f>
        <v>52.0207</v>
      </c>
      <c r="C2196" t="s">
        <v>1951</v>
      </c>
    </row>
    <row r="2197" spans="1:3" x14ac:dyDescent="0.25">
      <c r="A2197" t="str">
        <f t="shared" si="72"/>
        <v>52</v>
      </c>
      <c r="B2197" t="str">
        <f>"52.0208"</f>
        <v>52.0208</v>
      </c>
      <c r="C2197" t="s">
        <v>1952</v>
      </c>
    </row>
    <row r="2198" spans="1:3" x14ac:dyDescent="0.25">
      <c r="A2198" t="str">
        <f t="shared" si="72"/>
        <v>52</v>
      </c>
      <c r="B2198" t="str">
        <f>"52.0209"</f>
        <v>52.0209</v>
      </c>
      <c r="C2198" t="s">
        <v>1953</v>
      </c>
    </row>
    <row r="2199" spans="1:3" x14ac:dyDescent="0.25">
      <c r="A2199" t="str">
        <f t="shared" si="72"/>
        <v>52</v>
      </c>
      <c r="B2199" t="str">
        <f>"52.0210"</f>
        <v>52.0210</v>
      </c>
      <c r="C2199" t="s">
        <v>1954</v>
      </c>
    </row>
    <row r="2200" spans="1:3" x14ac:dyDescent="0.25">
      <c r="A2200" t="str">
        <f t="shared" si="72"/>
        <v>52</v>
      </c>
      <c r="B2200" t="str">
        <f>"52.0211"</f>
        <v>52.0211</v>
      </c>
      <c r="C2200" t="s">
        <v>1955</v>
      </c>
    </row>
    <row r="2201" spans="1:3" x14ac:dyDescent="0.25">
      <c r="A2201" t="str">
        <f t="shared" si="72"/>
        <v>52</v>
      </c>
      <c r="B2201" t="str">
        <f>"52.0212"</f>
        <v>52.0212</v>
      </c>
      <c r="C2201" t="s">
        <v>1956</v>
      </c>
    </row>
    <row r="2202" spans="1:3" x14ac:dyDescent="0.25">
      <c r="A2202" t="str">
        <f t="shared" si="72"/>
        <v>52</v>
      </c>
      <c r="B2202" t="str">
        <f>"52.0213"</f>
        <v>52.0213</v>
      </c>
      <c r="C2202" t="s">
        <v>1957</v>
      </c>
    </row>
    <row r="2203" spans="1:3" x14ac:dyDescent="0.25">
      <c r="A2203" t="str">
        <f t="shared" si="72"/>
        <v>52</v>
      </c>
      <c r="B2203" t="str">
        <f>"52.0214"</f>
        <v>52.0214</v>
      </c>
      <c r="C2203" t="s">
        <v>1958</v>
      </c>
    </row>
    <row r="2204" spans="1:3" x14ac:dyDescent="0.25">
      <c r="A2204" t="str">
        <f t="shared" si="72"/>
        <v>52</v>
      </c>
      <c r="B2204" t="str">
        <f>"52.0215"</f>
        <v>52.0215</v>
      </c>
      <c r="C2204" t="s">
        <v>1959</v>
      </c>
    </row>
    <row r="2205" spans="1:3" x14ac:dyDescent="0.25">
      <c r="A2205" t="str">
        <f t="shared" si="72"/>
        <v>52</v>
      </c>
      <c r="B2205" t="str">
        <f>"52.0216"</f>
        <v>52.0216</v>
      </c>
      <c r="C2205" t="s">
        <v>1960</v>
      </c>
    </row>
    <row r="2206" spans="1:3" x14ac:dyDescent="0.25">
      <c r="A2206" t="str">
        <f t="shared" si="72"/>
        <v>52</v>
      </c>
      <c r="B2206" t="str">
        <f>"52.0299"</f>
        <v>52.0299</v>
      </c>
      <c r="C2206" t="s">
        <v>1961</v>
      </c>
    </row>
    <row r="2207" spans="1:3" x14ac:dyDescent="0.25">
      <c r="A2207" t="str">
        <f t="shared" si="72"/>
        <v>52</v>
      </c>
      <c r="B2207" t="str">
        <f>"52.03"</f>
        <v>52.03</v>
      </c>
      <c r="C2207" t="s">
        <v>1962</v>
      </c>
    </row>
    <row r="2208" spans="1:3" x14ac:dyDescent="0.25">
      <c r="A2208" t="str">
        <f t="shared" si="72"/>
        <v>52</v>
      </c>
      <c r="B2208" t="str">
        <f>"52.0301"</f>
        <v>52.0301</v>
      </c>
      <c r="C2208" t="s">
        <v>1963</v>
      </c>
    </row>
    <row r="2209" spans="1:3" x14ac:dyDescent="0.25">
      <c r="A2209" t="str">
        <f t="shared" si="72"/>
        <v>52</v>
      </c>
      <c r="B2209" t="str">
        <f>"52.0302"</f>
        <v>52.0302</v>
      </c>
      <c r="C2209" t="s">
        <v>1964</v>
      </c>
    </row>
    <row r="2210" spans="1:3" x14ac:dyDescent="0.25">
      <c r="A2210" t="str">
        <f t="shared" si="72"/>
        <v>52</v>
      </c>
      <c r="B2210" t="str">
        <f>"52.0303"</f>
        <v>52.0303</v>
      </c>
      <c r="C2210" t="s">
        <v>1965</v>
      </c>
    </row>
    <row r="2211" spans="1:3" x14ac:dyDescent="0.25">
      <c r="A2211" t="str">
        <f t="shared" si="72"/>
        <v>52</v>
      </c>
      <c r="B2211" t="str">
        <f>"52.0304"</f>
        <v>52.0304</v>
      </c>
      <c r="C2211" t="s">
        <v>1966</v>
      </c>
    </row>
    <row r="2212" spans="1:3" x14ac:dyDescent="0.25">
      <c r="A2212" t="str">
        <f t="shared" si="72"/>
        <v>52</v>
      </c>
      <c r="B2212" t="str">
        <f>"52.0305"</f>
        <v>52.0305</v>
      </c>
      <c r="C2212" t="s">
        <v>1967</v>
      </c>
    </row>
    <row r="2213" spans="1:3" x14ac:dyDescent="0.25">
      <c r="A2213" t="str">
        <f t="shared" si="72"/>
        <v>52</v>
      </c>
      <c r="B2213" t="str">
        <f>"52.0399"</f>
        <v>52.0399</v>
      </c>
      <c r="C2213" t="s">
        <v>1968</v>
      </c>
    </row>
    <row r="2214" spans="1:3" x14ac:dyDescent="0.25">
      <c r="A2214" t="str">
        <f t="shared" si="72"/>
        <v>52</v>
      </c>
      <c r="B2214" t="str">
        <f>"52.04"</f>
        <v>52.04</v>
      </c>
      <c r="C2214" t="s">
        <v>1969</v>
      </c>
    </row>
    <row r="2215" spans="1:3" x14ac:dyDescent="0.25">
      <c r="A2215" t="str">
        <f t="shared" si="72"/>
        <v>52</v>
      </c>
      <c r="B2215" t="str">
        <f>"52.0401"</f>
        <v>52.0401</v>
      </c>
      <c r="C2215" t="s">
        <v>1970</v>
      </c>
    </row>
    <row r="2216" spans="1:3" x14ac:dyDescent="0.25">
      <c r="A2216" t="str">
        <f t="shared" si="72"/>
        <v>52</v>
      </c>
      <c r="B2216" t="str">
        <f>"52.0402"</f>
        <v>52.0402</v>
      </c>
      <c r="C2216" t="s">
        <v>1971</v>
      </c>
    </row>
    <row r="2217" spans="1:3" x14ac:dyDescent="0.25">
      <c r="A2217" t="str">
        <f t="shared" si="72"/>
        <v>52</v>
      </c>
      <c r="B2217" t="str">
        <f>"52.0406"</f>
        <v>52.0406</v>
      </c>
      <c r="C2217" t="s">
        <v>1972</v>
      </c>
    </row>
    <row r="2218" spans="1:3" x14ac:dyDescent="0.25">
      <c r="A2218" t="str">
        <f t="shared" si="72"/>
        <v>52</v>
      </c>
      <c r="B2218" t="str">
        <f>"52.0407"</f>
        <v>52.0407</v>
      </c>
      <c r="C2218" t="s">
        <v>1973</v>
      </c>
    </row>
    <row r="2219" spans="1:3" x14ac:dyDescent="0.25">
      <c r="A2219" t="str">
        <f t="shared" ref="A2219:A2250" si="73">"52"</f>
        <v>52</v>
      </c>
      <c r="B2219" t="str">
        <f>"52.0408"</f>
        <v>52.0408</v>
      </c>
      <c r="C2219" t="s">
        <v>1974</v>
      </c>
    </row>
    <row r="2220" spans="1:3" x14ac:dyDescent="0.25">
      <c r="A2220" t="str">
        <f t="shared" si="73"/>
        <v>52</v>
      </c>
      <c r="B2220" t="str">
        <f>"52.0409"</f>
        <v>52.0409</v>
      </c>
      <c r="C2220" t="s">
        <v>1975</v>
      </c>
    </row>
    <row r="2221" spans="1:3" x14ac:dyDescent="0.25">
      <c r="A2221" t="str">
        <f t="shared" si="73"/>
        <v>52</v>
      </c>
      <c r="B2221" t="str">
        <f>"52.0410"</f>
        <v>52.0410</v>
      </c>
      <c r="C2221" t="s">
        <v>1976</v>
      </c>
    </row>
    <row r="2222" spans="1:3" x14ac:dyDescent="0.25">
      <c r="A2222" t="str">
        <f t="shared" si="73"/>
        <v>52</v>
      </c>
      <c r="B2222" t="str">
        <f>"52.0411"</f>
        <v>52.0411</v>
      </c>
      <c r="C2222" t="s">
        <v>1977</v>
      </c>
    </row>
    <row r="2223" spans="1:3" x14ac:dyDescent="0.25">
      <c r="A2223" t="str">
        <f t="shared" si="73"/>
        <v>52</v>
      </c>
      <c r="B2223" t="str">
        <f>"52.0499"</f>
        <v>52.0499</v>
      </c>
      <c r="C2223" t="s">
        <v>1978</v>
      </c>
    </row>
    <row r="2224" spans="1:3" x14ac:dyDescent="0.25">
      <c r="A2224" t="str">
        <f t="shared" si="73"/>
        <v>52</v>
      </c>
      <c r="B2224" t="str">
        <f>"52.05"</f>
        <v>52.05</v>
      </c>
      <c r="C2224" t="s">
        <v>1979</v>
      </c>
    </row>
    <row r="2225" spans="1:3" x14ac:dyDescent="0.25">
      <c r="A2225" t="str">
        <f t="shared" si="73"/>
        <v>52</v>
      </c>
      <c r="B2225" t="str">
        <f>"52.0501"</f>
        <v>52.0501</v>
      </c>
      <c r="C2225" t="s">
        <v>1980</v>
      </c>
    </row>
    <row r="2226" spans="1:3" x14ac:dyDescent="0.25">
      <c r="A2226" t="str">
        <f t="shared" si="73"/>
        <v>52</v>
      </c>
      <c r="B2226" t="str">
        <f>"52.0502"</f>
        <v>52.0502</v>
      </c>
      <c r="C2226" t="s">
        <v>1981</v>
      </c>
    </row>
    <row r="2227" spans="1:3" x14ac:dyDescent="0.25">
      <c r="A2227" t="str">
        <f t="shared" si="73"/>
        <v>52</v>
      </c>
      <c r="B2227" t="str">
        <f>"52.0599"</f>
        <v>52.0599</v>
      </c>
      <c r="C2227" t="s">
        <v>1982</v>
      </c>
    </row>
    <row r="2228" spans="1:3" x14ac:dyDescent="0.25">
      <c r="A2228" t="str">
        <f t="shared" si="73"/>
        <v>52</v>
      </c>
      <c r="B2228" t="str">
        <f>"52.06"</f>
        <v>52.06</v>
      </c>
      <c r="C2228" t="s">
        <v>1983</v>
      </c>
    </row>
    <row r="2229" spans="1:3" x14ac:dyDescent="0.25">
      <c r="A2229" t="str">
        <f t="shared" si="73"/>
        <v>52</v>
      </c>
      <c r="B2229" t="str">
        <f>"52.0601"</f>
        <v>52.0601</v>
      </c>
      <c r="C2229" t="s">
        <v>1983</v>
      </c>
    </row>
    <row r="2230" spans="1:3" x14ac:dyDescent="0.25">
      <c r="A2230" t="str">
        <f t="shared" si="73"/>
        <v>52</v>
      </c>
      <c r="B2230" t="str">
        <f>"52.07"</f>
        <v>52.07</v>
      </c>
      <c r="C2230" t="s">
        <v>1984</v>
      </c>
    </row>
    <row r="2231" spans="1:3" x14ac:dyDescent="0.25">
      <c r="A2231" t="str">
        <f t="shared" si="73"/>
        <v>52</v>
      </c>
      <c r="B2231" t="str">
        <f>"52.0701"</f>
        <v>52.0701</v>
      </c>
      <c r="C2231" t="s">
        <v>1985</v>
      </c>
    </row>
    <row r="2232" spans="1:3" x14ac:dyDescent="0.25">
      <c r="A2232" t="str">
        <f t="shared" si="73"/>
        <v>52</v>
      </c>
      <c r="B2232" t="str">
        <f>"52.0702"</f>
        <v>52.0702</v>
      </c>
      <c r="C2232" t="s">
        <v>1986</v>
      </c>
    </row>
    <row r="2233" spans="1:3" x14ac:dyDescent="0.25">
      <c r="A2233" t="str">
        <f t="shared" si="73"/>
        <v>52</v>
      </c>
      <c r="B2233" t="str">
        <f>"52.0703"</f>
        <v>52.0703</v>
      </c>
      <c r="C2233" t="s">
        <v>1987</v>
      </c>
    </row>
    <row r="2234" spans="1:3" x14ac:dyDescent="0.25">
      <c r="A2234" t="str">
        <f t="shared" si="73"/>
        <v>52</v>
      </c>
      <c r="B2234" t="str">
        <f>"52.0704"</f>
        <v>52.0704</v>
      </c>
      <c r="C2234" t="s">
        <v>1988</v>
      </c>
    </row>
    <row r="2235" spans="1:3" x14ac:dyDescent="0.25">
      <c r="A2235" t="str">
        <f t="shared" si="73"/>
        <v>52</v>
      </c>
      <c r="B2235" t="str">
        <f>"52.0799"</f>
        <v>52.0799</v>
      </c>
      <c r="C2235" t="s">
        <v>1989</v>
      </c>
    </row>
    <row r="2236" spans="1:3" x14ac:dyDescent="0.25">
      <c r="A2236" t="str">
        <f t="shared" si="73"/>
        <v>52</v>
      </c>
      <c r="B2236" t="str">
        <f>"52.08"</f>
        <v>52.08</v>
      </c>
      <c r="C2236" t="s">
        <v>1990</v>
      </c>
    </row>
    <row r="2237" spans="1:3" x14ac:dyDescent="0.25">
      <c r="A2237" t="str">
        <f t="shared" si="73"/>
        <v>52</v>
      </c>
      <c r="B2237" t="str">
        <f>"52.0801"</f>
        <v>52.0801</v>
      </c>
      <c r="C2237" t="s">
        <v>1991</v>
      </c>
    </row>
    <row r="2238" spans="1:3" x14ac:dyDescent="0.25">
      <c r="A2238" t="str">
        <f t="shared" si="73"/>
        <v>52</v>
      </c>
      <c r="B2238" t="str">
        <f>"52.0803"</f>
        <v>52.0803</v>
      </c>
      <c r="C2238" t="s">
        <v>1992</v>
      </c>
    </row>
    <row r="2239" spans="1:3" x14ac:dyDescent="0.25">
      <c r="A2239" t="str">
        <f t="shared" si="73"/>
        <v>52</v>
      </c>
      <c r="B2239" t="str">
        <f>"52.0804"</f>
        <v>52.0804</v>
      </c>
      <c r="C2239" t="s">
        <v>1993</v>
      </c>
    </row>
    <row r="2240" spans="1:3" x14ac:dyDescent="0.25">
      <c r="A2240" t="str">
        <f t="shared" si="73"/>
        <v>52</v>
      </c>
      <c r="B2240" t="str">
        <f>"52.0806"</f>
        <v>52.0806</v>
      </c>
      <c r="C2240" t="s">
        <v>1994</v>
      </c>
    </row>
    <row r="2241" spans="1:3" x14ac:dyDescent="0.25">
      <c r="A2241" t="str">
        <f t="shared" si="73"/>
        <v>52</v>
      </c>
      <c r="B2241" t="str">
        <f>"52.0807"</f>
        <v>52.0807</v>
      </c>
      <c r="C2241" t="s">
        <v>1995</v>
      </c>
    </row>
    <row r="2242" spans="1:3" x14ac:dyDescent="0.25">
      <c r="A2242" t="str">
        <f t="shared" si="73"/>
        <v>52</v>
      </c>
      <c r="B2242" t="str">
        <f>"52.0808"</f>
        <v>52.0808</v>
      </c>
      <c r="C2242" t="s">
        <v>1996</v>
      </c>
    </row>
    <row r="2243" spans="1:3" x14ac:dyDescent="0.25">
      <c r="A2243" t="str">
        <f t="shared" si="73"/>
        <v>52</v>
      </c>
      <c r="B2243" t="str">
        <f>"52.0809"</f>
        <v>52.0809</v>
      </c>
      <c r="C2243" t="s">
        <v>1997</v>
      </c>
    </row>
    <row r="2244" spans="1:3" x14ac:dyDescent="0.25">
      <c r="A2244" t="str">
        <f t="shared" si="73"/>
        <v>52</v>
      </c>
      <c r="B2244" t="str">
        <f>"52.0810"</f>
        <v>52.0810</v>
      </c>
      <c r="C2244" t="s">
        <v>1998</v>
      </c>
    </row>
    <row r="2245" spans="1:3" x14ac:dyDescent="0.25">
      <c r="A2245" t="str">
        <f t="shared" si="73"/>
        <v>52</v>
      </c>
      <c r="B2245" t="str">
        <f>"52.0899"</f>
        <v>52.0899</v>
      </c>
      <c r="C2245" t="s">
        <v>1999</v>
      </c>
    </row>
    <row r="2246" spans="1:3" x14ac:dyDescent="0.25">
      <c r="A2246" t="str">
        <f t="shared" si="73"/>
        <v>52</v>
      </c>
      <c r="B2246" t="str">
        <f>"52.09"</f>
        <v>52.09</v>
      </c>
      <c r="C2246" t="s">
        <v>2000</v>
      </c>
    </row>
    <row r="2247" spans="1:3" x14ac:dyDescent="0.25">
      <c r="A2247" t="str">
        <f t="shared" si="73"/>
        <v>52</v>
      </c>
      <c r="B2247" t="str">
        <f>"52.0901"</f>
        <v>52.0901</v>
      </c>
      <c r="C2247" t="s">
        <v>2001</v>
      </c>
    </row>
    <row r="2248" spans="1:3" x14ac:dyDescent="0.25">
      <c r="A2248" t="str">
        <f t="shared" si="73"/>
        <v>52</v>
      </c>
      <c r="B2248" t="str">
        <f>"52.0903"</f>
        <v>52.0903</v>
      </c>
      <c r="C2248" t="s">
        <v>2002</v>
      </c>
    </row>
    <row r="2249" spans="1:3" x14ac:dyDescent="0.25">
      <c r="A2249" t="str">
        <f t="shared" si="73"/>
        <v>52</v>
      </c>
      <c r="B2249" t="str">
        <f>"52.0904"</f>
        <v>52.0904</v>
      </c>
      <c r="C2249" t="s">
        <v>2003</v>
      </c>
    </row>
    <row r="2250" spans="1:3" x14ac:dyDescent="0.25">
      <c r="A2250" t="str">
        <f t="shared" si="73"/>
        <v>52</v>
      </c>
      <c r="B2250" t="str">
        <f>"52.0905"</f>
        <v>52.0905</v>
      </c>
      <c r="C2250" t="s">
        <v>2004</v>
      </c>
    </row>
    <row r="2251" spans="1:3" x14ac:dyDescent="0.25">
      <c r="A2251" t="str">
        <f t="shared" ref="A2251:A2282" si="74">"52"</f>
        <v>52</v>
      </c>
      <c r="B2251" t="str">
        <f>"52.0906"</f>
        <v>52.0906</v>
      </c>
      <c r="C2251" t="s">
        <v>2005</v>
      </c>
    </row>
    <row r="2252" spans="1:3" x14ac:dyDescent="0.25">
      <c r="A2252" t="str">
        <f t="shared" si="74"/>
        <v>52</v>
      </c>
      <c r="B2252" t="str">
        <f>"52.0907"</f>
        <v>52.0907</v>
      </c>
      <c r="C2252" t="s">
        <v>2006</v>
      </c>
    </row>
    <row r="2253" spans="1:3" x14ac:dyDescent="0.25">
      <c r="A2253" t="str">
        <f t="shared" si="74"/>
        <v>52</v>
      </c>
      <c r="B2253" t="str">
        <f>"52.0908"</f>
        <v>52.0908</v>
      </c>
      <c r="C2253" t="s">
        <v>2007</v>
      </c>
    </row>
    <row r="2254" spans="1:3" x14ac:dyDescent="0.25">
      <c r="A2254" t="str">
        <f t="shared" si="74"/>
        <v>52</v>
      </c>
      <c r="B2254" t="str">
        <f>"52.0909"</f>
        <v>52.0909</v>
      </c>
      <c r="C2254" t="s">
        <v>2008</v>
      </c>
    </row>
    <row r="2255" spans="1:3" x14ac:dyDescent="0.25">
      <c r="A2255" t="str">
        <f t="shared" si="74"/>
        <v>52</v>
      </c>
      <c r="B2255" t="str">
        <f>"52.0910"</f>
        <v>52.0910</v>
      </c>
      <c r="C2255" t="s">
        <v>2009</v>
      </c>
    </row>
    <row r="2256" spans="1:3" x14ac:dyDescent="0.25">
      <c r="A2256" t="str">
        <f t="shared" si="74"/>
        <v>52</v>
      </c>
      <c r="B2256" t="str">
        <f>"52.0999"</f>
        <v>52.0999</v>
      </c>
      <c r="C2256" t="s">
        <v>2010</v>
      </c>
    </row>
    <row r="2257" spans="1:3" x14ac:dyDescent="0.25">
      <c r="A2257" t="str">
        <f t="shared" si="74"/>
        <v>52</v>
      </c>
      <c r="B2257" t="str">
        <f>"52.10"</f>
        <v>52.10</v>
      </c>
      <c r="C2257" t="s">
        <v>2011</v>
      </c>
    </row>
    <row r="2258" spans="1:3" x14ac:dyDescent="0.25">
      <c r="A2258" t="str">
        <f t="shared" si="74"/>
        <v>52</v>
      </c>
      <c r="B2258" t="str">
        <f>"52.1001"</f>
        <v>52.1001</v>
      </c>
      <c r="C2258" t="s">
        <v>2012</v>
      </c>
    </row>
    <row r="2259" spans="1:3" x14ac:dyDescent="0.25">
      <c r="A2259" t="str">
        <f t="shared" si="74"/>
        <v>52</v>
      </c>
      <c r="B2259" t="str">
        <f>"52.1002"</f>
        <v>52.1002</v>
      </c>
      <c r="C2259" t="s">
        <v>2013</v>
      </c>
    </row>
    <row r="2260" spans="1:3" x14ac:dyDescent="0.25">
      <c r="A2260" t="str">
        <f t="shared" si="74"/>
        <v>52</v>
      </c>
      <c r="B2260" t="str">
        <f>"52.1003"</f>
        <v>52.1003</v>
      </c>
      <c r="C2260" t="s">
        <v>2014</v>
      </c>
    </row>
    <row r="2261" spans="1:3" x14ac:dyDescent="0.25">
      <c r="A2261" t="str">
        <f t="shared" si="74"/>
        <v>52</v>
      </c>
      <c r="B2261" t="str">
        <f>"52.1004"</f>
        <v>52.1004</v>
      </c>
      <c r="C2261" t="s">
        <v>2015</v>
      </c>
    </row>
    <row r="2262" spans="1:3" x14ac:dyDescent="0.25">
      <c r="A2262" t="str">
        <f t="shared" si="74"/>
        <v>52</v>
      </c>
      <c r="B2262" t="str">
        <f>"52.1005"</f>
        <v>52.1005</v>
      </c>
      <c r="C2262" t="s">
        <v>2016</v>
      </c>
    </row>
    <row r="2263" spans="1:3" x14ac:dyDescent="0.25">
      <c r="A2263" t="str">
        <f t="shared" si="74"/>
        <v>52</v>
      </c>
      <c r="B2263" t="str">
        <f>"52.1006"</f>
        <v>52.1006</v>
      </c>
      <c r="C2263" t="s">
        <v>2017</v>
      </c>
    </row>
    <row r="2264" spans="1:3" x14ac:dyDescent="0.25">
      <c r="A2264" t="str">
        <f t="shared" si="74"/>
        <v>52</v>
      </c>
      <c r="B2264" t="str">
        <f>"52.1099"</f>
        <v>52.1099</v>
      </c>
      <c r="C2264" t="s">
        <v>2018</v>
      </c>
    </row>
    <row r="2265" spans="1:3" x14ac:dyDescent="0.25">
      <c r="A2265" t="str">
        <f t="shared" si="74"/>
        <v>52</v>
      </c>
      <c r="B2265" t="str">
        <f>"52.11"</f>
        <v>52.11</v>
      </c>
      <c r="C2265" t="s">
        <v>2019</v>
      </c>
    </row>
    <row r="2266" spans="1:3" x14ac:dyDescent="0.25">
      <c r="A2266" t="str">
        <f t="shared" si="74"/>
        <v>52</v>
      </c>
      <c r="B2266" t="str">
        <f>"52.1101"</f>
        <v>52.1101</v>
      </c>
      <c r="C2266" t="s">
        <v>2020</v>
      </c>
    </row>
    <row r="2267" spans="1:3" x14ac:dyDescent="0.25">
      <c r="A2267" t="str">
        <f t="shared" si="74"/>
        <v>52</v>
      </c>
      <c r="B2267" t="str">
        <f>"52.12"</f>
        <v>52.12</v>
      </c>
      <c r="C2267" t="s">
        <v>2021</v>
      </c>
    </row>
    <row r="2268" spans="1:3" x14ac:dyDescent="0.25">
      <c r="A2268" t="str">
        <f t="shared" si="74"/>
        <v>52</v>
      </c>
      <c r="B2268" t="str">
        <f>"52.1201"</f>
        <v>52.1201</v>
      </c>
      <c r="C2268" t="s">
        <v>2022</v>
      </c>
    </row>
    <row r="2269" spans="1:3" x14ac:dyDescent="0.25">
      <c r="A2269" t="str">
        <f t="shared" si="74"/>
        <v>52</v>
      </c>
      <c r="B2269" t="str">
        <f>"52.1206"</f>
        <v>52.1206</v>
      </c>
      <c r="C2269" t="s">
        <v>2023</v>
      </c>
    </row>
    <row r="2270" spans="1:3" x14ac:dyDescent="0.25">
      <c r="A2270" t="str">
        <f t="shared" si="74"/>
        <v>52</v>
      </c>
      <c r="B2270" t="str">
        <f>"52.1207"</f>
        <v>52.1207</v>
      </c>
      <c r="C2270" t="s">
        <v>2024</v>
      </c>
    </row>
    <row r="2271" spans="1:3" x14ac:dyDescent="0.25">
      <c r="A2271" t="str">
        <f t="shared" si="74"/>
        <v>52</v>
      </c>
      <c r="B2271" t="str">
        <f>"52.1299"</f>
        <v>52.1299</v>
      </c>
      <c r="C2271" t="s">
        <v>2025</v>
      </c>
    </row>
    <row r="2272" spans="1:3" x14ac:dyDescent="0.25">
      <c r="A2272" t="str">
        <f t="shared" si="74"/>
        <v>52</v>
      </c>
      <c r="B2272" t="str">
        <f>"52.13"</f>
        <v>52.13</v>
      </c>
      <c r="C2272" t="s">
        <v>2026</v>
      </c>
    </row>
    <row r="2273" spans="1:3" x14ac:dyDescent="0.25">
      <c r="A2273" t="str">
        <f t="shared" si="74"/>
        <v>52</v>
      </c>
      <c r="B2273" t="str">
        <f>"52.1301"</f>
        <v>52.1301</v>
      </c>
      <c r="C2273" t="s">
        <v>2027</v>
      </c>
    </row>
    <row r="2274" spans="1:3" x14ac:dyDescent="0.25">
      <c r="A2274" t="str">
        <f t="shared" si="74"/>
        <v>52</v>
      </c>
      <c r="B2274" t="str">
        <f>"52.1302"</f>
        <v>52.1302</v>
      </c>
      <c r="C2274" t="s">
        <v>2028</v>
      </c>
    </row>
    <row r="2275" spans="1:3" x14ac:dyDescent="0.25">
      <c r="A2275" t="str">
        <f t="shared" si="74"/>
        <v>52</v>
      </c>
      <c r="B2275" t="str">
        <f>"52.1304"</f>
        <v>52.1304</v>
      </c>
      <c r="C2275" t="s">
        <v>2029</v>
      </c>
    </row>
    <row r="2276" spans="1:3" x14ac:dyDescent="0.25">
      <c r="A2276" t="str">
        <f t="shared" si="74"/>
        <v>52</v>
      </c>
      <c r="B2276" t="str">
        <f>"52.1399"</f>
        <v>52.1399</v>
      </c>
      <c r="C2276" t="s">
        <v>2030</v>
      </c>
    </row>
    <row r="2277" spans="1:3" x14ac:dyDescent="0.25">
      <c r="A2277" t="str">
        <f t="shared" si="74"/>
        <v>52</v>
      </c>
      <c r="B2277" t="str">
        <f>"52.14"</f>
        <v>52.14</v>
      </c>
      <c r="C2277" t="s">
        <v>2031</v>
      </c>
    </row>
    <row r="2278" spans="1:3" x14ac:dyDescent="0.25">
      <c r="A2278" t="str">
        <f t="shared" si="74"/>
        <v>52</v>
      </c>
      <c r="B2278" t="str">
        <f>"52.1401"</f>
        <v>52.1401</v>
      </c>
      <c r="C2278" t="s">
        <v>2032</v>
      </c>
    </row>
    <row r="2279" spans="1:3" x14ac:dyDescent="0.25">
      <c r="A2279" t="str">
        <f t="shared" si="74"/>
        <v>52</v>
      </c>
      <c r="B2279" t="str">
        <f>"52.1402"</f>
        <v>52.1402</v>
      </c>
      <c r="C2279" t="s">
        <v>2033</v>
      </c>
    </row>
    <row r="2280" spans="1:3" x14ac:dyDescent="0.25">
      <c r="A2280" t="str">
        <f t="shared" si="74"/>
        <v>52</v>
      </c>
      <c r="B2280" t="str">
        <f>"52.1403"</f>
        <v>52.1403</v>
      </c>
      <c r="C2280" t="s">
        <v>2034</v>
      </c>
    </row>
    <row r="2281" spans="1:3" x14ac:dyDescent="0.25">
      <c r="A2281" t="str">
        <f t="shared" si="74"/>
        <v>52</v>
      </c>
      <c r="B2281" t="str">
        <f>"52.1404"</f>
        <v>52.1404</v>
      </c>
      <c r="C2281" t="s">
        <v>2035</v>
      </c>
    </row>
    <row r="2282" spans="1:3" x14ac:dyDescent="0.25">
      <c r="A2282" t="str">
        <f t="shared" si="74"/>
        <v>52</v>
      </c>
      <c r="B2282" t="str">
        <f>"52.1499"</f>
        <v>52.1499</v>
      </c>
      <c r="C2282" t="s">
        <v>2036</v>
      </c>
    </row>
    <row r="2283" spans="1:3" x14ac:dyDescent="0.25">
      <c r="A2283" t="str">
        <f t="shared" ref="A2283:A2316" si="75">"52"</f>
        <v>52</v>
      </c>
      <c r="B2283" t="str">
        <f>"52.15"</f>
        <v>52.15</v>
      </c>
      <c r="C2283" t="s">
        <v>2037</v>
      </c>
    </row>
    <row r="2284" spans="1:3" x14ac:dyDescent="0.25">
      <c r="A2284" t="str">
        <f t="shared" si="75"/>
        <v>52</v>
      </c>
      <c r="B2284" t="str">
        <f>"52.1501"</f>
        <v>52.1501</v>
      </c>
      <c r="C2284" t="s">
        <v>2037</v>
      </c>
    </row>
    <row r="2285" spans="1:3" x14ac:dyDescent="0.25">
      <c r="A2285" t="str">
        <f t="shared" si="75"/>
        <v>52</v>
      </c>
      <c r="B2285" t="str">
        <f>"52.16"</f>
        <v>52.16</v>
      </c>
      <c r="C2285" t="s">
        <v>2038</v>
      </c>
    </row>
    <row r="2286" spans="1:3" x14ac:dyDescent="0.25">
      <c r="A2286" t="str">
        <f t="shared" si="75"/>
        <v>52</v>
      </c>
      <c r="B2286" t="str">
        <f>"52.1601"</f>
        <v>52.1601</v>
      </c>
      <c r="C2286" t="s">
        <v>2038</v>
      </c>
    </row>
    <row r="2287" spans="1:3" x14ac:dyDescent="0.25">
      <c r="A2287" t="str">
        <f t="shared" si="75"/>
        <v>52</v>
      </c>
      <c r="B2287" t="str">
        <f>"52.17"</f>
        <v>52.17</v>
      </c>
      <c r="C2287" t="s">
        <v>2039</v>
      </c>
    </row>
    <row r="2288" spans="1:3" x14ac:dyDescent="0.25">
      <c r="A2288" t="str">
        <f t="shared" si="75"/>
        <v>52</v>
      </c>
      <c r="B2288" t="str">
        <f>"52.1701"</f>
        <v>52.1701</v>
      </c>
      <c r="C2288" t="s">
        <v>2039</v>
      </c>
    </row>
    <row r="2289" spans="1:3" x14ac:dyDescent="0.25">
      <c r="A2289" t="str">
        <f t="shared" si="75"/>
        <v>52</v>
      </c>
      <c r="B2289" t="str">
        <f>"52.18"</f>
        <v>52.18</v>
      </c>
      <c r="C2289" t="s">
        <v>2040</v>
      </c>
    </row>
    <row r="2290" spans="1:3" x14ac:dyDescent="0.25">
      <c r="A2290" t="str">
        <f t="shared" si="75"/>
        <v>52</v>
      </c>
      <c r="B2290" t="str">
        <f>"52.1801"</f>
        <v>52.1801</v>
      </c>
      <c r="C2290" t="s">
        <v>2041</v>
      </c>
    </row>
    <row r="2291" spans="1:3" x14ac:dyDescent="0.25">
      <c r="A2291" t="str">
        <f t="shared" si="75"/>
        <v>52</v>
      </c>
      <c r="B2291" t="str">
        <f>"52.1802"</f>
        <v>52.1802</v>
      </c>
      <c r="C2291" t="s">
        <v>2042</v>
      </c>
    </row>
    <row r="2292" spans="1:3" x14ac:dyDescent="0.25">
      <c r="A2292" t="str">
        <f t="shared" si="75"/>
        <v>52</v>
      </c>
      <c r="B2292" t="str">
        <f>"52.1803"</f>
        <v>52.1803</v>
      </c>
      <c r="C2292" t="s">
        <v>2043</v>
      </c>
    </row>
    <row r="2293" spans="1:3" x14ac:dyDescent="0.25">
      <c r="A2293" t="str">
        <f t="shared" si="75"/>
        <v>52</v>
      </c>
      <c r="B2293" t="str">
        <f>"52.1804"</f>
        <v>52.1804</v>
      </c>
      <c r="C2293" t="s">
        <v>2044</v>
      </c>
    </row>
    <row r="2294" spans="1:3" x14ac:dyDescent="0.25">
      <c r="A2294" t="str">
        <f t="shared" si="75"/>
        <v>52</v>
      </c>
      <c r="B2294" t="str">
        <f>"52.1880"</f>
        <v>52.1880</v>
      </c>
      <c r="C2294" t="s">
        <v>31</v>
      </c>
    </row>
    <row r="2295" spans="1:3" x14ac:dyDescent="0.25">
      <c r="A2295" t="str">
        <f t="shared" si="75"/>
        <v>52</v>
      </c>
      <c r="B2295" t="str">
        <f>"52.1899"</f>
        <v>52.1899</v>
      </c>
      <c r="C2295" t="s">
        <v>2045</v>
      </c>
    </row>
    <row r="2296" spans="1:3" x14ac:dyDescent="0.25">
      <c r="A2296" t="str">
        <f t="shared" si="75"/>
        <v>52</v>
      </c>
      <c r="B2296" t="str">
        <f>"52.19"</f>
        <v>52.19</v>
      </c>
      <c r="C2296" t="s">
        <v>2046</v>
      </c>
    </row>
    <row r="2297" spans="1:3" x14ac:dyDescent="0.25">
      <c r="A2297" t="str">
        <f t="shared" si="75"/>
        <v>52</v>
      </c>
      <c r="B2297" t="str">
        <f>"52.1901"</f>
        <v>52.1901</v>
      </c>
      <c r="C2297" t="s">
        <v>2047</v>
      </c>
    </row>
    <row r="2298" spans="1:3" x14ac:dyDescent="0.25">
      <c r="A2298" t="str">
        <f t="shared" si="75"/>
        <v>52</v>
      </c>
      <c r="B2298" t="str">
        <f>"52.1902"</f>
        <v>52.1902</v>
      </c>
      <c r="C2298" t="s">
        <v>2048</v>
      </c>
    </row>
    <row r="2299" spans="1:3" x14ac:dyDescent="0.25">
      <c r="A2299" t="str">
        <f t="shared" si="75"/>
        <v>52</v>
      </c>
      <c r="B2299" t="str">
        <f>"52.1903"</f>
        <v>52.1903</v>
      </c>
      <c r="C2299" t="s">
        <v>2049</v>
      </c>
    </row>
    <row r="2300" spans="1:3" x14ac:dyDescent="0.25">
      <c r="A2300" t="str">
        <f t="shared" si="75"/>
        <v>52</v>
      </c>
      <c r="B2300" t="str">
        <f>"52.1904"</f>
        <v>52.1904</v>
      </c>
      <c r="C2300" t="s">
        <v>2050</v>
      </c>
    </row>
    <row r="2301" spans="1:3" x14ac:dyDescent="0.25">
      <c r="A2301" t="str">
        <f t="shared" si="75"/>
        <v>52</v>
      </c>
      <c r="B2301" t="str">
        <f>"52.1905"</f>
        <v>52.1905</v>
      </c>
      <c r="C2301" t="s">
        <v>2051</v>
      </c>
    </row>
    <row r="2302" spans="1:3" x14ac:dyDescent="0.25">
      <c r="A2302" t="str">
        <f t="shared" si="75"/>
        <v>52</v>
      </c>
      <c r="B2302" t="str">
        <f>"52.1906"</f>
        <v>52.1906</v>
      </c>
      <c r="C2302" t="s">
        <v>2052</v>
      </c>
    </row>
    <row r="2303" spans="1:3" x14ac:dyDescent="0.25">
      <c r="A2303" t="str">
        <f t="shared" si="75"/>
        <v>52</v>
      </c>
      <c r="B2303" t="str">
        <f>"52.1907"</f>
        <v>52.1907</v>
      </c>
      <c r="C2303" t="s">
        <v>2053</v>
      </c>
    </row>
    <row r="2304" spans="1:3" x14ac:dyDescent="0.25">
      <c r="A2304" t="str">
        <f t="shared" si="75"/>
        <v>52</v>
      </c>
      <c r="B2304" t="str">
        <f>"52.1908"</f>
        <v>52.1908</v>
      </c>
      <c r="C2304" t="s">
        <v>2054</v>
      </c>
    </row>
    <row r="2305" spans="1:3" x14ac:dyDescent="0.25">
      <c r="A2305" t="str">
        <f t="shared" si="75"/>
        <v>52</v>
      </c>
      <c r="B2305" t="str">
        <f>"52.1909"</f>
        <v>52.1909</v>
      </c>
      <c r="C2305" t="s">
        <v>2055</v>
      </c>
    </row>
    <row r="2306" spans="1:3" x14ac:dyDescent="0.25">
      <c r="A2306" t="str">
        <f t="shared" si="75"/>
        <v>52</v>
      </c>
      <c r="B2306" t="str">
        <f>"52.1910"</f>
        <v>52.1910</v>
      </c>
      <c r="C2306" t="s">
        <v>2056</v>
      </c>
    </row>
    <row r="2307" spans="1:3" x14ac:dyDescent="0.25">
      <c r="A2307" t="str">
        <f t="shared" si="75"/>
        <v>52</v>
      </c>
      <c r="B2307" t="str">
        <f>"52.1980"</f>
        <v>52.1980</v>
      </c>
      <c r="C2307" t="s">
        <v>31</v>
      </c>
    </row>
    <row r="2308" spans="1:3" x14ac:dyDescent="0.25">
      <c r="A2308" t="str">
        <f t="shared" si="75"/>
        <v>52</v>
      </c>
      <c r="B2308" t="str">
        <f>"52.1999"</f>
        <v>52.1999</v>
      </c>
      <c r="C2308" t="s">
        <v>2057</v>
      </c>
    </row>
    <row r="2309" spans="1:3" x14ac:dyDescent="0.25">
      <c r="A2309" t="str">
        <f t="shared" si="75"/>
        <v>52</v>
      </c>
      <c r="B2309" t="str">
        <f>"52.20"</f>
        <v>52.20</v>
      </c>
      <c r="C2309" t="s">
        <v>2058</v>
      </c>
    </row>
    <row r="2310" spans="1:3" x14ac:dyDescent="0.25">
      <c r="A2310" t="str">
        <f t="shared" si="75"/>
        <v>52</v>
      </c>
      <c r="B2310" t="str">
        <f>"52.2001"</f>
        <v>52.2001</v>
      </c>
      <c r="C2310" t="s">
        <v>2059</v>
      </c>
    </row>
    <row r="2311" spans="1:3" x14ac:dyDescent="0.25">
      <c r="A2311" t="str">
        <f t="shared" si="75"/>
        <v>52</v>
      </c>
      <c r="B2311" t="str">
        <f>"52.2002"</f>
        <v>52.2002</v>
      </c>
      <c r="C2311" t="s">
        <v>2060</v>
      </c>
    </row>
    <row r="2312" spans="1:3" x14ac:dyDescent="0.25">
      <c r="A2312" t="str">
        <f t="shared" si="75"/>
        <v>52</v>
      </c>
      <c r="B2312" t="str">
        <f>"52.2099"</f>
        <v>52.2099</v>
      </c>
      <c r="C2312" t="s">
        <v>2061</v>
      </c>
    </row>
    <row r="2313" spans="1:3" x14ac:dyDescent="0.25">
      <c r="A2313" t="str">
        <f t="shared" si="75"/>
        <v>52</v>
      </c>
      <c r="B2313" t="str">
        <f>"52.21"</f>
        <v>52.21</v>
      </c>
      <c r="C2313" t="s">
        <v>2062</v>
      </c>
    </row>
    <row r="2314" spans="1:3" x14ac:dyDescent="0.25">
      <c r="A2314" t="str">
        <f t="shared" si="75"/>
        <v>52</v>
      </c>
      <c r="B2314" t="str">
        <f>"52.2101"</f>
        <v>52.2101</v>
      </c>
      <c r="C2314" t="s">
        <v>2062</v>
      </c>
    </row>
    <row r="2315" spans="1:3" x14ac:dyDescent="0.25">
      <c r="A2315" t="str">
        <f t="shared" si="75"/>
        <v>52</v>
      </c>
      <c r="B2315" t="str">
        <f>"52.99"</f>
        <v>52.99</v>
      </c>
      <c r="C2315" t="s">
        <v>2063</v>
      </c>
    </row>
    <row r="2316" spans="1:3" x14ac:dyDescent="0.25">
      <c r="A2316" t="str">
        <f t="shared" si="75"/>
        <v>52</v>
      </c>
      <c r="B2316" t="str">
        <f>"52.9999"</f>
        <v>52.9999</v>
      </c>
      <c r="C2316" t="s">
        <v>2063</v>
      </c>
    </row>
    <row r="2317" spans="1:3" x14ac:dyDescent="0.25">
      <c r="A2317" t="str">
        <f>"53"</f>
        <v>53</v>
      </c>
      <c r="B2317" t="str">
        <f>"53"</f>
        <v>53</v>
      </c>
      <c r="C2317" t="s">
        <v>2064</v>
      </c>
    </row>
    <row r="2318" spans="1:3" x14ac:dyDescent="0.25">
      <c r="A2318" t="str">
        <f t="shared" ref="A2318:A2329" si="76">"53"</f>
        <v>53</v>
      </c>
      <c r="B2318" t="str">
        <f>"53.01"</f>
        <v>53.01</v>
      </c>
      <c r="C2318" t="s">
        <v>2065</v>
      </c>
    </row>
    <row r="2319" spans="1:3" x14ac:dyDescent="0.25">
      <c r="A2319" t="str">
        <f t="shared" si="76"/>
        <v>53</v>
      </c>
      <c r="B2319" t="str">
        <f>"53.0101"</f>
        <v>53.0101</v>
      </c>
      <c r="C2319" t="s">
        <v>2066</v>
      </c>
    </row>
    <row r="2320" spans="1:3" x14ac:dyDescent="0.25">
      <c r="A2320" t="str">
        <f t="shared" si="76"/>
        <v>53</v>
      </c>
      <c r="B2320" t="str">
        <f>"53.0102"</f>
        <v>53.0102</v>
      </c>
      <c r="C2320" t="s">
        <v>2067</v>
      </c>
    </row>
    <row r="2321" spans="1:3" x14ac:dyDescent="0.25">
      <c r="A2321" t="str">
        <f t="shared" si="76"/>
        <v>53</v>
      </c>
      <c r="B2321" t="str">
        <f>"53.0103"</f>
        <v>53.0103</v>
      </c>
      <c r="C2321" t="s">
        <v>2068</v>
      </c>
    </row>
    <row r="2322" spans="1:3" x14ac:dyDescent="0.25">
      <c r="A2322" t="str">
        <f t="shared" si="76"/>
        <v>53</v>
      </c>
      <c r="B2322" t="str">
        <f>"53.0104"</f>
        <v>53.0104</v>
      </c>
      <c r="C2322" t="s">
        <v>2069</v>
      </c>
    </row>
    <row r="2323" spans="1:3" x14ac:dyDescent="0.25">
      <c r="A2323" t="str">
        <f t="shared" si="76"/>
        <v>53</v>
      </c>
      <c r="B2323" t="str">
        <f>"53.0105"</f>
        <v>53.0105</v>
      </c>
      <c r="C2323" t="s">
        <v>2070</v>
      </c>
    </row>
    <row r="2324" spans="1:3" x14ac:dyDescent="0.25">
      <c r="A2324" t="str">
        <f t="shared" si="76"/>
        <v>53</v>
      </c>
      <c r="B2324" t="str">
        <f>"53.0199"</f>
        <v>53.0199</v>
      </c>
      <c r="C2324" t="s">
        <v>2071</v>
      </c>
    </row>
    <row r="2325" spans="1:3" x14ac:dyDescent="0.25">
      <c r="A2325" t="str">
        <f t="shared" si="76"/>
        <v>53</v>
      </c>
      <c r="B2325" t="str">
        <f>"53.02"</f>
        <v>53.02</v>
      </c>
      <c r="C2325" t="s">
        <v>2072</v>
      </c>
    </row>
    <row r="2326" spans="1:3" x14ac:dyDescent="0.25">
      <c r="A2326" t="str">
        <f t="shared" si="76"/>
        <v>53</v>
      </c>
      <c r="B2326" t="str">
        <f>"53.0201"</f>
        <v>53.0201</v>
      </c>
      <c r="C2326" t="s">
        <v>2073</v>
      </c>
    </row>
    <row r="2327" spans="1:3" x14ac:dyDescent="0.25">
      <c r="A2327" t="str">
        <f t="shared" si="76"/>
        <v>53</v>
      </c>
      <c r="B2327" t="str">
        <f>"53.0202"</f>
        <v>53.0202</v>
      </c>
      <c r="C2327" t="s">
        <v>2074</v>
      </c>
    </row>
    <row r="2328" spans="1:3" x14ac:dyDescent="0.25">
      <c r="A2328" t="str">
        <f t="shared" si="76"/>
        <v>53</v>
      </c>
      <c r="B2328" t="str">
        <f>"53.0203"</f>
        <v>53.0203</v>
      </c>
      <c r="C2328" t="s">
        <v>2075</v>
      </c>
    </row>
    <row r="2329" spans="1:3" x14ac:dyDescent="0.25">
      <c r="A2329" t="str">
        <f t="shared" si="76"/>
        <v>53</v>
      </c>
      <c r="B2329" t="str">
        <f>"53.0299"</f>
        <v>53.0299</v>
      </c>
      <c r="C2329" t="s">
        <v>2076</v>
      </c>
    </row>
    <row r="2330" spans="1:3" x14ac:dyDescent="0.25">
      <c r="A2330" t="str">
        <f>"54"</f>
        <v>54</v>
      </c>
      <c r="B2330" t="str">
        <f>"54"</f>
        <v>54</v>
      </c>
      <c r="C2330" t="s">
        <v>2077</v>
      </c>
    </row>
    <row r="2331" spans="1:3" x14ac:dyDescent="0.25">
      <c r="A2331" t="str">
        <f t="shared" ref="A2331:A2340" si="77">"54"</f>
        <v>54</v>
      </c>
      <c r="B2331" t="str">
        <f>"54.01"</f>
        <v>54.01</v>
      </c>
      <c r="C2331" t="s">
        <v>2078</v>
      </c>
    </row>
    <row r="2332" spans="1:3" x14ac:dyDescent="0.25">
      <c r="A2332" t="str">
        <f t="shared" si="77"/>
        <v>54</v>
      </c>
      <c r="B2332" t="str">
        <f>"54.0101"</f>
        <v>54.0101</v>
      </c>
      <c r="C2332" t="s">
        <v>2079</v>
      </c>
    </row>
    <row r="2333" spans="1:3" x14ac:dyDescent="0.25">
      <c r="A2333" t="str">
        <f t="shared" si="77"/>
        <v>54</v>
      </c>
      <c r="B2333" t="str">
        <f>"54.0102"</f>
        <v>54.0102</v>
      </c>
      <c r="C2333" t="s">
        <v>2080</v>
      </c>
    </row>
    <row r="2334" spans="1:3" x14ac:dyDescent="0.25">
      <c r="A2334" t="str">
        <f t="shared" si="77"/>
        <v>54</v>
      </c>
      <c r="B2334" t="str">
        <f>"54.0103"</f>
        <v>54.0103</v>
      </c>
      <c r="C2334" t="s">
        <v>2081</v>
      </c>
    </row>
    <row r="2335" spans="1:3" x14ac:dyDescent="0.25">
      <c r="A2335" t="str">
        <f t="shared" si="77"/>
        <v>54</v>
      </c>
      <c r="B2335" t="str">
        <f>"54.0104"</f>
        <v>54.0104</v>
      </c>
      <c r="C2335" t="s">
        <v>2082</v>
      </c>
    </row>
    <row r="2336" spans="1:3" x14ac:dyDescent="0.25">
      <c r="A2336" t="str">
        <f t="shared" si="77"/>
        <v>54</v>
      </c>
      <c r="B2336" t="str">
        <f>"54.0105"</f>
        <v>54.0105</v>
      </c>
      <c r="C2336" t="s">
        <v>2083</v>
      </c>
    </row>
    <row r="2337" spans="1:3" x14ac:dyDescent="0.25">
      <c r="A2337" t="str">
        <f t="shared" si="77"/>
        <v>54</v>
      </c>
      <c r="B2337" t="str">
        <f>"54.0106"</f>
        <v>54.0106</v>
      </c>
      <c r="C2337" t="s">
        <v>2084</v>
      </c>
    </row>
    <row r="2338" spans="1:3" x14ac:dyDescent="0.25">
      <c r="A2338" t="str">
        <f t="shared" si="77"/>
        <v>54</v>
      </c>
      <c r="B2338" t="str">
        <f>"54.0107"</f>
        <v>54.0107</v>
      </c>
      <c r="C2338" t="s">
        <v>2085</v>
      </c>
    </row>
    <row r="2339" spans="1:3" x14ac:dyDescent="0.25">
      <c r="A2339" t="str">
        <f t="shared" si="77"/>
        <v>54</v>
      </c>
      <c r="B2339" t="str">
        <f>"54.0108"</f>
        <v>54.0108</v>
      </c>
      <c r="C2339" t="s">
        <v>2086</v>
      </c>
    </row>
    <row r="2340" spans="1:3" x14ac:dyDescent="0.25">
      <c r="A2340" t="str">
        <f t="shared" si="77"/>
        <v>54</v>
      </c>
      <c r="B2340" t="str">
        <f>"54.0199"</f>
        <v>54.0199</v>
      </c>
      <c r="C2340" t="s">
        <v>2087</v>
      </c>
    </row>
    <row r="2341" spans="1:3" x14ac:dyDescent="0.25">
      <c r="A2341" t="str">
        <f>"55"</f>
        <v>55</v>
      </c>
      <c r="B2341" t="str">
        <f>"55"</f>
        <v>55</v>
      </c>
      <c r="C2341" t="s">
        <v>768</v>
      </c>
    </row>
    <row r="2342" spans="1:3" x14ac:dyDescent="0.25">
      <c r="A2342" t="str">
        <f t="shared" ref="A2342:A2357" si="78">"55"</f>
        <v>55</v>
      </c>
      <c r="B2342" t="str">
        <f>"55.01"</f>
        <v>55.01</v>
      </c>
      <c r="C2342" t="s">
        <v>31</v>
      </c>
    </row>
    <row r="2343" spans="1:3" x14ac:dyDescent="0.25">
      <c r="A2343" t="str">
        <f t="shared" si="78"/>
        <v>55</v>
      </c>
      <c r="B2343" t="str">
        <f>"55.0101"</f>
        <v>55.0101</v>
      </c>
      <c r="C2343" t="s">
        <v>31</v>
      </c>
    </row>
    <row r="2344" spans="1:3" x14ac:dyDescent="0.25">
      <c r="A2344" t="str">
        <f t="shared" si="78"/>
        <v>55</v>
      </c>
      <c r="B2344" t="str">
        <f>"55.13"</f>
        <v>55.13</v>
      </c>
      <c r="C2344" t="s">
        <v>31</v>
      </c>
    </row>
    <row r="2345" spans="1:3" x14ac:dyDescent="0.25">
      <c r="A2345" t="str">
        <f t="shared" si="78"/>
        <v>55</v>
      </c>
      <c r="B2345" t="str">
        <f>"55.1301"</f>
        <v>55.1301</v>
      </c>
      <c r="C2345" t="s">
        <v>31</v>
      </c>
    </row>
    <row r="2346" spans="1:3" x14ac:dyDescent="0.25">
      <c r="A2346" t="str">
        <f t="shared" si="78"/>
        <v>55</v>
      </c>
      <c r="B2346" t="str">
        <f>"55.1302"</f>
        <v>55.1302</v>
      </c>
      <c r="C2346" t="s">
        <v>31</v>
      </c>
    </row>
    <row r="2347" spans="1:3" x14ac:dyDescent="0.25">
      <c r="A2347" t="str">
        <f t="shared" si="78"/>
        <v>55</v>
      </c>
      <c r="B2347" t="str">
        <f>"55.1303"</f>
        <v>55.1303</v>
      </c>
      <c r="C2347" t="s">
        <v>31</v>
      </c>
    </row>
    <row r="2348" spans="1:3" x14ac:dyDescent="0.25">
      <c r="A2348" t="str">
        <f t="shared" si="78"/>
        <v>55</v>
      </c>
      <c r="B2348" t="str">
        <f>"55.1304"</f>
        <v>55.1304</v>
      </c>
      <c r="C2348" t="s">
        <v>31</v>
      </c>
    </row>
    <row r="2349" spans="1:3" x14ac:dyDescent="0.25">
      <c r="A2349" t="str">
        <f t="shared" si="78"/>
        <v>55</v>
      </c>
      <c r="B2349" t="str">
        <f>"55.1399"</f>
        <v>55.1399</v>
      </c>
      <c r="C2349" t="s">
        <v>31</v>
      </c>
    </row>
    <row r="2350" spans="1:3" x14ac:dyDescent="0.25">
      <c r="A2350" t="str">
        <f t="shared" si="78"/>
        <v>55</v>
      </c>
      <c r="B2350" t="str">
        <f>"55.14"</f>
        <v>55.14</v>
      </c>
      <c r="C2350" t="s">
        <v>31</v>
      </c>
    </row>
    <row r="2351" spans="1:3" x14ac:dyDescent="0.25">
      <c r="A2351" t="str">
        <f t="shared" si="78"/>
        <v>55</v>
      </c>
      <c r="B2351" t="str">
        <f>"55.1401"</f>
        <v>55.1401</v>
      </c>
      <c r="C2351" t="s">
        <v>31</v>
      </c>
    </row>
    <row r="2352" spans="1:3" x14ac:dyDescent="0.25">
      <c r="A2352" t="str">
        <f t="shared" si="78"/>
        <v>55</v>
      </c>
      <c r="B2352" t="str">
        <f>"55.1403"</f>
        <v>55.1403</v>
      </c>
      <c r="C2352" t="s">
        <v>31</v>
      </c>
    </row>
    <row r="2353" spans="1:3" x14ac:dyDescent="0.25">
      <c r="A2353" t="str">
        <f t="shared" si="78"/>
        <v>55</v>
      </c>
      <c r="B2353" t="str">
        <f>"55.1404"</f>
        <v>55.1404</v>
      </c>
      <c r="C2353" t="s">
        <v>31</v>
      </c>
    </row>
    <row r="2354" spans="1:3" x14ac:dyDescent="0.25">
      <c r="A2354" t="str">
        <f t="shared" si="78"/>
        <v>55</v>
      </c>
      <c r="B2354" t="str">
        <f>"55.1405"</f>
        <v>55.1405</v>
      </c>
      <c r="C2354" t="s">
        <v>31</v>
      </c>
    </row>
    <row r="2355" spans="1:3" x14ac:dyDescent="0.25">
      <c r="A2355" t="str">
        <f t="shared" si="78"/>
        <v>55</v>
      </c>
      <c r="B2355" t="str">
        <f>"55.1499"</f>
        <v>55.1499</v>
      </c>
      <c r="C2355" t="s">
        <v>31</v>
      </c>
    </row>
    <row r="2356" spans="1:3" x14ac:dyDescent="0.25">
      <c r="A2356" t="str">
        <f t="shared" si="78"/>
        <v>55</v>
      </c>
      <c r="B2356" t="str">
        <f>"55.99"</f>
        <v>55.99</v>
      </c>
      <c r="C2356" t="s">
        <v>31</v>
      </c>
    </row>
    <row r="2357" spans="1:3" x14ac:dyDescent="0.25">
      <c r="A2357" t="str">
        <f t="shared" si="78"/>
        <v>55</v>
      </c>
      <c r="B2357" t="str">
        <f>"55.9999"</f>
        <v>55.9999</v>
      </c>
      <c r="C2357" t="s">
        <v>31</v>
      </c>
    </row>
    <row r="2358" spans="1:3" x14ac:dyDescent="0.25">
      <c r="A2358" t="str">
        <f>"60"</f>
        <v>60</v>
      </c>
      <c r="B2358" t="str">
        <f>"60"</f>
        <v>60</v>
      </c>
      <c r="C2358" t="s">
        <v>2088</v>
      </c>
    </row>
    <row r="2359" spans="1:3" x14ac:dyDescent="0.25">
      <c r="A2359" t="str">
        <f t="shared" ref="A2359:A2422" si="79">"60"</f>
        <v>60</v>
      </c>
      <c r="B2359" t="str">
        <f>"60.01"</f>
        <v>60.01</v>
      </c>
      <c r="C2359" t="s">
        <v>2089</v>
      </c>
    </row>
    <row r="2360" spans="1:3" x14ac:dyDescent="0.25">
      <c r="A2360" t="str">
        <f t="shared" si="79"/>
        <v>60</v>
      </c>
      <c r="B2360" t="str">
        <f>"60.0101"</f>
        <v>60.0101</v>
      </c>
      <c r="C2360" t="s">
        <v>2090</v>
      </c>
    </row>
    <row r="2361" spans="1:3" x14ac:dyDescent="0.25">
      <c r="A2361" t="str">
        <f t="shared" si="79"/>
        <v>60</v>
      </c>
      <c r="B2361" t="str">
        <f>"60.0102"</f>
        <v>60.0102</v>
      </c>
      <c r="C2361" t="s">
        <v>2091</v>
      </c>
    </row>
    <row r="2362" spans="1:3" x14ac:dyDescent="0.25">
      <c r="A2362" t="str">
        <f t="shared" si="79"/>
        <v>60</v>
      </c>
      <c r="B2362" t="str">
        <f>"60.0103"</f>
        <v>60.0103</v>
      </c>
      <c r="C2362" t="s">
        <v>2092</v>
      </c>
    </row>
    <row r="2363" spans="1:3" x14ac:dyDescent="0.25">
      <c r="A2363" t="str">
        <f t="shared" si="79"/>
        <v>60</v>
      </c>
      <c r="B2363" t="str">
        <f>"60.0104"</f>
        <v>60.0104</v>
      </c>
      <c r="C2363" t="s">
        <v>2093</v>
      </c>
    </row>
    <row r="2364" spans="1:3" x14ac:dyDescent="0.25">
      <c r="A2364" t="str">
        <f t="shared" si="79"/>
        <v>60</v>
      </c>
      <c r="B2364" t="str">
        <f>"60.0105"</f>
        <v>60.0105</v>
      </c>
      <c r="C2364" t="s">
        <v>2094</v>
      </c>
    </row>
    <row r="2365" spans="1:3" x14ac:dyDescent="0.25">
      <c r="A2365" t="str">
        <f t="shared" si="79"/>
        <v>60</v>
      </c>
      <c r="B2365" t="str">
        <f>"60.0106"</f>
        <v>60.0106</v>
      </c>
      <c r="C2365" t="s">
        <v>2095</v>
      </c>
    </row>
    <row r="2366" spans="1:3" x14ac:dyDescent="0.25">
      <c r="A2366" t="str">
        <f t="shared" si="79"/>
        <v>60</v>
      </c>
      <c r="B2366" t="str">
        <f>"60.0107"</f>
        <v>60.0107</v>
      </c>
      <c r="C2366" t="s">
        <v>2096</v>
      </c>
    </row>
    <row r="2367" spans="1:3" x14ac:dyDescent="0.25">
      <c r="A2367" t="str">
        <f t="shared" si="79"/>
        <v>60</v>
      </c>
      <c r="B2367" t="str">
        <f>"60.0108"</f>
        <v>60.0108</v>
      </c>
      <c r="C2367" t="s">
        <v>2097</v>
      </c>
    </row>
    <row r="2368" spans="1:3" x14ac:dyDescent="0.25">
      <c r="A2368" t="str">
        <f t="shared" si="79"/>
        <v>60</v>
      </c>
      <c r="B2368" t="str">
        <f>"60.0109"</f>
        <v>60.0109</v>
      </c>
      <c r="C2368" t="s">
        <v>2098</v>
      </c>
    </row>
    <row r="2369" spans="1:3" x14ac:dyDescent="0.25">
      <c r="A2369" t="str">
        <f t="shared" si="79"/>
        <v>60</v>
      </c>
      <c r="B2369" t="str">
        <f>"60.0110"</f>
        <v>60.0110</v>
      </c>
      <c r="C2369" t="s">
        <v>2099</v>
      </c>
    </row>
    <row r="2370" spans="1:3" x14ac:dyDescent="0.25">
      <c r="A2370" t="str">
        <f t="shared" si="79"/>
        <v>60</v>
      </c>
      <c r="B2370" t="str">
        <f>"60.0199"</f>
        <v>60.0199</v>
      </c>
      <c r="C2370" t="s">
        <v>2100</v>
      </c>
    </row>
    <row r="2371" spans="1:3" x14ac:dyDescent="0.25">
      <c r="A2371" t="str">
        <f t="shared" si="79"/>
        <v>60</v>
      </c>
      <c r="B2371" t="str">
        <f>"60.03"</f>
        <v>60.03</v>
      </c>
      <c r="C2371" t="s">
        <v>2101</v>
      </c>
    </row>
    <row r="2372" spans="1:3" x14ac:dyDescent="0.25">
      <c r="A2372" t="str">
        <f t="shared" si="79"/>
        <v>60</v>
      </c>
      <c r="B2372" t="str">
        <f>"60.0301"</f>
        <v>60.0301</v>
      </c>
      <c r="C2372" t="s">
        <v>2102</v>
      </c>
    </row>
    <row r="2373" spans="1:3" x14ac:dyDescent="0.25">
      <c r="A2373" t="str">
        <f t="shared" si="79"/>
        <v>60</v>
      </c>
      <c r="B2373" t="str">
        <f>"60.0302"</f>
        <v>60.0302</v>
      </c>
      <c r="C2373" t="s">
        <v>2103</v>
      </c>
    </row>
    <row r="2374" spans="1:3" x14ac:dyDescent="0.25">
      <c r="A2374" t="str">
        <f t="shared" si="79"/>
        <v>60</v>
      </c>
      <c r="B2374" t="str">
        <f>"60.0303"</f>
        <v>60.0303</v>
      </c>
      <c r="C2374" t="s">
        <v>2104</v>
      </c>
    </row>
    <row r="2375" spans="1:3" x14ac:dyDescent="0.25">
      <c r="A2375" t="str">
        <f t="shared" si="79"/>
        <v>60</v>
      </c>
      <c r="B2375" t="str">
        <f>"60.0304"</f>
        <v>60.0304</v>
      </c>
      <c r="C2375" t="s">
        <v>2105</v>
      </c>
    </row>
    <row r="2376" spans="1:3" x14ac:dyDescent="0.25">
      <c r="A2376" t="str">
        <f t="shared" si="79"/>
        <v>60</v>
      </c>
      <c r="B2376" t="str">
        <f>"60.0305"</f>
        <v>60.0305</v>
      </c>
      <c r="C2376" t="s">
        <v>2106</v>
      </c>
    </row>
    <row r="2377" spans="1:3" x14ac:dyDescent="0.25">
      <c r="A2377" t="str">
        <f t="shared" si="79"/>
        <v>60</v>
      </c>
      <c r="B2377" t="str">
        <f>"60.0306"</f>
        <v>60.0306</v>
      </c>
      <c r="C2377" t="s">
        <v>2107</v>
      </c>
    </row>
    <row r="2378" spans="1:3" x14ac:dyDescent="0.25">
      <c r="A2378" t="str">
        <f t="shared" si="79"/>
        <v>60</v>
      </c>
      <c r="B2378" t="str">
        <f>"60.0307"</f>
        <v>60.0307</v>
      </c>
      <c r="C2378" t="s">
        <v>2108</v>
      </c>
    </row>
    <row r="2379" spans="1:3" x14ac:dyDescent="0.25">
      <c r="A2379" t="str">
        <f t="shared" si="79"/>
        <v>60</v>
      </c>
      <c r="B2379" t="str">
        <f>"60.0308"</f>
        <v>60.0308</v>
      </c>
      <c r="C2379" t="s">
        <v>2109</v>
      </c>
    </row>
    <row r="2380" spans="1:3" x14ac:dyDescent="0.25">
      <c r="A2380" t="str">
        <f t="shared" si="79"/>
        <v>60</v>
      </c>
      <c r="B2380" t="str">
        <f>"60.0309"</f>
        <v>60.0309</v>
      </c>
      <c r="C2380" t="s">
        <v>2110</v>
      </c>
    </row>
    <row r="2381" spans="1:3" x14ac:dyDescent="0.25">
      <c r="A2381" t="str">
        <f t="shared" si="79"/>
        <v>60</v>
      </c>
      <c r="B2381" t="str">
        <f>"60.0310"</f>
        <v>60.0310</v>
      </c>
      <c r="C2381" t="s">
        <v>2111</v>
      </c>
    </row>
    <row r="2382" spans="1:3" x14ac:dyDescent="0.25">
      <c r="A2382" t="str">
        <f t="shared" si="79"/>
        <v>60</v>
      </c>
      <c r="B2382" t="str">
        <f>"60.0311"</f>
        <v>60.0311</v>
      </c>
      <c r="C2382" t="s">
        <v>2112</v>
      </c>
    </row>
    <row r="2383" spans="1:3" x14ac:dyDescent="0.25">
      <c r="A2383" t="str">
        <f t="shared" si="79"/>
        <v>60</v>
      </c>
      <c r="B2383" t="str">
        <f>"60.0312"</f>
        <v>60.0312</v>
      </c>
      <c r="C2383" t="s">
        <v>2113</v>
      </c>
    </row>
    <row r="2384" spans="1:3" x14ac:dyDescent="0.25">
      <c r="A2384" t="str">
        <f t="shared" si="79"/>
        <v>60</v>
      </c>
      <c r="B2384" t="str">
        <f>"60.0313"</f>
        <v>60.0313</v>
      </c>
      <c r="C2384" t="s">
        <v>2114</v>
      </c>
    </row>
    <row r="2385" spans="1:3" x14ac:dyDescent="0.25">
      <c r="A2385" t="str">
        <f t="shared" si="79"/>
        <v>60</v>
      </c>
      <c r="B2385" t="str">
        <f>"60.0314"</f>
        <v>60.0314</v>
      </c>
      <c r="C2385" t="s">
        <v>2115</v>
      </c>
    </row>
    <row r="2386" spans="1:3" x14ac:dyDescent="0.25">
      <c r="A2386" t="str">
        <f t="shared" si="79"/>
        <v>60</v>
      </c>
      <c r="B2386" t="str">
        <f>"60.0315"</f>
        <v>60.0315</v>
      </c>
      <c r="C2386" t="s">
        <v>2116</v>
      </c>
    </row>
    <row r="2387" spans="1:3" x14ac:dyDescent="0.25">
      <c r="A2387" t="str">
        <f t="shared" si="79"/>
        <v>60</v>
      </c>
      <c r="B2387" t="str">
        <f>"60.0316"</f>
        <v>60.0316</v>
      </c>
      <c r="C2387" t="s">
        <v>2117</v>
      </c>
    </row>
    <row r="2388" spans="1:3" x14ac:dyDescent="0.25">
      <c r="A2388" t="str">
        <f t="shared" si="79"/>
        <v>60</v>
      </c>
      <c r="B2388" t="str">
        <f>"60.0317"</f>
        <v>60.0317</v>
      </c>
      <c r="C2388" t="s">
        <v>2118</v>
      </c>
    </row>
    <row r="2389" spans="1:3" x14ac:dyDescent="0.25">
      <c r="A2389" t="str">
        <f t="shared" si="79"/>
        <v>60</v>
      </c>
      <c r="B2389" t="str">
        <f>"60.0318"</f>
        <v>60.0318</v>
      </c>
      <c r="C2389" t="s">
        <v>2119</v>
      </c>
    </row>
    <row r="2390" spans="1:3" x14ac:dyDescent="0.25">
      <c r="A2390" t="str">
        <f t="shared" si="79"/>
        <v>60</v>
      </c>
      <c r="B2390" t="str">
        <f>"60.0319"</f>
        <v>60.0319</v>
      </c>
      <c r="C2390" t="s">
        <v>2120</v>
      </c>
    </row>
    <row r="2391" spans="1:3" x14ac:dyDescent="0.25">
      <c r="A2391" t="str">
        <f t="shared" si="79"/>
        <v>60</v>
      </c>
      <c r="B2391" t="str">
        <f>"60.0320"</f>
        <v>60.0320</v>
      </c>
      <c r="C2391" t="s">
        <v>2121</v>
      </c>
    </row>
    <row r="2392" spans="1:3" x14ac:dyDescent="0.25">
      <c r="A2392" t="str">
        <f t="shared" si="79"/>
        <v>60</v>
      </c>
      <c r="B2392" t="str">
        <f>"60.0399"</f>
        <v>60.0399</v>
      </c>
      <c r="C2392" t="s">
        <v>2122</v>
      </c>
    </row>
    <row r="2393" spans="1:3" x14ac:dyDescent="0.25">
      <c r="A2393" t="str">
        <f t="shared" si="79"/>
        <v>60</v>
      </c>
      <c r="B2393" t="str">
        <f>"60.04"</f>
        <v>60.04</v>
      </c>
      <c r="C2393" t="s">
        <v>2123</v>
      </c>
    </row>
    <row r="2394" spans="1:3" x14ac:dyDescent="0.25">
      <c r="A2394" t="str">
        <f t="shared" si="79"/>
        <v>60</v>
      </c>
      <c r="B2394" t="str">
        <f>"60.0401"</f>
        <v>60.0401</v>
      </c>
      <c r="C2394" t="s">
        <v>2124</v>
      </c>
    </row>
    <row r="2395" spans="1:3" x14ac:dyDescent="0.25">
      <c r="A2395" t="str">
        <f t="shared" si="79"/>
        <v>60</v>
      </c>
      <c r="B2395" t="str">
        <f>"60.0402"</f>
        <v>60.0402</v>
      </c>
      <c r="C2395" t="s">
        <v>2125</v>
      </c>
    </row>
    <row r="2396" spans="1:3" x14ac:dyDescent="0.25">
      <c r="A2396" t="str">
        <f t="shared" si="79"/>
        <v>60</v>
      </c>
      <c r="B2396" t="str">
        <f>"60.0403"</f>
        <v>60.0403</v>
      </c>
      <c r="C2396" t="s">
        <v>2126</v>
      </c>
    </row>
    <row r="2397" spans="1:3" x14ac:dyDescent="0.25">
      <c r="A2397" t="str">
        <f t="shared" si="79"/>
        <v>60</v>
      </c>
      <c r="B2397" t="str">
        <f>"60.0404"</f>
        <v>60.0404</v>
      </c>
      <c r="C2397" t="s">
        <v>2127</v>
      </c>
    </row>
    <row r="2398" spans="1:3" x14ac:dyDescent="0.25">
      <c r="A2398" t="str">
        <f t="shared" si="79"/>
        <v>60</v>
      </c>
      <c r="B2398" t="str">
        <f>"60.0405"</f>
        <v>60.0405</v>
      </c>
      <c r="C2398" t="s">
        <v>2128</v>
      </c>
    </row>
    <row r="2399" spans="1:3" x14ac:dyDescent="0.25">
      <c r="A2399" t="str">
        <f t="shared" si="79"/>
        <v>60</v>
      </c>
      <c r="B2399" t="str">
        <f>"60.0406"</f>
        <v>60.0406</v>
      </c>
      <c r="C2399" t="s">
        <v>2129</v>
      </c>
    </row>
    <row r="2400" spans="1:3" x14ac:dyDescent="0.25">
      <c r="A2400" t="str">
        <f t="shared" si="79"/>
        <v>60</v>
      </c>
      <c r="B2400" t="str">
        <f>"60.0407"</f>
        <v>60.0407</v>
      </c>
      <c r="C2400" t="s">
        <v>2130</v>
      </c>
    </row>
    <row r="2401" spans="1:3" x14ac:dyDescent="0.25">
      <c r="A2401" t="str">
        <f t="shared" si="79"/>
        <v>60</v>
      </c>
      <c r="B2401" t="str">
        <f>"60.0408"</f>
        <v>60.0408</v>
      </c>
      <c r="C2401" t="s">
        <v>2131</v>
      </c>
    </row>
    <row r="2402" spans="1:3" x14ac:dyDescent="0.25">
      <c r="A2402" t="str">
        <f t="shared" si="79"/>
        <v>60</v>
      </c>
      <c r="B2402" t="str">
        <f>"60.0409"</f>
        <v>60.0409</v>
      </c>
      <c r="C2402" t="s">
        <v>2132</v>
      </c>
    </row>
    <row r="2403" spans="1:3" x14ac:dyDescent="0.25">
      <c r="A2403" t="str">
        <f t="shared" si="79"/>
        <v>60</v>
      </c>
      <c r="B2403" t="str">
        <f>"60.0410"</f>
        <v>60.0410</v>
      </c>
      <c r="C2403" t="s">
        <v>2133</v>
      </c>
    </row>
    <row r="2404" spans="1:3" x14ac:dyDescent="0.25">
      <c r="A2404" t="str">
        <f t="shared" si="79"/>
        <v>60</v>
      </c>
      <c r="B2404" t="str">
        <f>"60.0411"</f>
        <v>60.0411</v>
      </c>
      <c r="C2404" t="s">
        <v>2134</v>
      </c>
    </row>
    <row r="2405" spans="1:3" x14ac:dyDescent="0.25">
      <c r="A2405" t="str">
        <f t="shared" si="79"/>
        <v>60</v>
      </c>
      <c r="B2405" t="str">
        <f>"60.0412"</f>
        <v>60.0412</v>
      </c>
      <c r="C2405" t="s">
        <v>2135</v>
      </c>
    </row>
    <row r="2406" spans="1:3" x14ac:dyDescent="0.25">
      <c r="A2406" t="str">
        <f t="shared" si="79"/>
        <v>60</v>
      </c>
      <c r="B2406" t="str">
        <f>"60.0413"</f>
        <v>60.0413</v>
      </c>
      <c r="C2406" t="s">
        <v>2136</v>
      </c>
    </row>
    <row r="2407" spans="1:3" x14ac:dyDescent="0.25">
      <c r="A2407" t="str">
        <f t="shared" si="79"/>
        <v>60</v>
      </c>
      <c r="B2407" t="str">
        <f>"60.0414"</f>
        <v>60.0414</v>
      </c>
      <c r="C2407" t="s">
        <v>2137</v>
      </c>
    </row>
    <row r="2408" spans="1:3" x14ac:dyDescent="0.25">
      <c r="A2408" t="str">
        <f t="shared" si="79"/>
        <v>60</v>
      </c>
      <c r="B2408" t="str">
        <f>"60.0415"</f>
        <v>60.0415</v>
      </c>
      <c r="C2408" t="s">
        <v>2138</v>
      </c>
    </row>
    <row r="2409" spans="1:3" x14ac:dyDescent="0.25">
      <c r="A2409" t="str">
        <f t="shared" si="79"/>
        <v>60</v>
      </c>
      <c r="B2409" t="str">
        <f>"60.0416"</f>
        <v>60.0416</v>
      </c>
      <c r="C2409" t="s">
        <v>2139</v>
      </c>
    </row>
    <row r="2410" spans="1:3" x14ac:dyDescent="0.25">
      <c r="A2410" t="str">
        <f t="shared" si="79"/>
        <v>60</v>
      </c>
      <c r="B2410" t="str">
        <f>"60.0417"</f>
        <v>60.0417</v>
      </c>
      <c r="C2410" t="s">
        <v>2140</v>
      </c>
    </row>
    <row r="2411" spans="1:3" x14ac:dyDescent="0.25">
      <c r="A2411" t="str">
        <f t="shared" si="79"/>
        <v>60</v>
      </c>
      <c r="B2411" t="str">
        <f>"60.0418"</f>
        <v>60.0418</v>
      </c>
      <c r="C2411" t="s">
        <v>2141</v>
      </c>
    </row>
    <row r="2412" spans="1:3" x14ac:dyDescent="0.25">
      <c r="A2412" t="str">
        <f t="shared" si="79"/>
        <v>60</v>
      </c>
      <c r="B2412" t="str">
        <f>"60.0419"</f>
        <v>60.0419</v>
      </c>
      <c r="C2412" t="s">
        <v>2142</v>
      </c>
    </row>
    <row r="2413" spans="1:3" x14ac:dyDescent="0.25">
      <c r="A2413" t="str">
        <f t="shared" si="79"/>
        <v>60</v>
      </c>
      <c r="B2413" t="str">
        <f>"60.0420"</f>
        <v>60.0420</v>
      </c>
      <c r="C2413" t="s">
        <v>2143</v>
      </c>
    </row>
    <row r="2414" spans="1:3" x14ac:dyDescent="0.25">
      <c r="A2414" t="str">
        <f t="shared" si="79"/>
        <v>60</v>
      </c>
      <c r="B2414" t="str">
        <f>"60.0421"</f>
        <v>60.0421</v>
      </c>
      <c r="C2414" t="s">
        <v>2144</v>
      </c>
    </row>
    <row r="2415" spans="1:3" x14ac:dyDescent="0.25">
      <c r="A2415" t="str">
        <f t="shared" si="79"/>
        <v>60</v>
      </c>
      <c r="B2415" t="str">
        <f>"60.0422"</f>
        <v>60.0422</v>
      </c>
      <c r="C2415" t="s">
        <v>2145</v>
      </c>
    </row>
    <row r="2416" spans="1:3" x14ac:dyDescent="0.25">
      <c r="A2416" t="str">
        <f t="shared" si="79"/>
        <v>60</v>
      </c>
      <c r="B2416" t="str">
        <f>"60.0423"</f>
        <v>60.0423</v>
      </c>
      <c r="C2416" t="s">
        <v>2146</v>
      </c>
    </row>
    <row r="2417" spans="1:3" x14ac:dyDescent="0.25">
      <c r="A2417" t="str">
        <f t="shared" si="79"/>
        <v>60</v>
      </c>
      <c r="B2417" t="str">
        <f>"60.0424"</f>
        <v>60.0424</v>
      </c>
      <c r="C2417" t="s">
        <v>2147</v>
      </c>
    </row>
    <row r="2418" spans="1:3" x14ac:dyDescent="0.25">
      <c r="A2418" t="str">
        <f t="shared" si="79"/>
        <v>60</v>
      </c>
      <c r="B2418" t="str">
        <f>"60.0425"</f>
        <v>60.0425</v>
      </c>
      <c r="C2418" t="s">
        <v>2148</v>
      </c>
    </row>
    <row r="2419" spans="1:3" x14ac:dyDescent="0.25">
      <c r="A2419" t="str">
        <f t="shared" si="79"/>
        <v>60</v>
      </c>
      <c r="B2419" t="str">
        <f>"60.0426"</f>
        <v>60.0426</v>
      </c>
      <c r="C2419" t="s">
        <v>2149</v>
      </c>
    </row>
    <row r="2420" spans="1:3" x14ac:dyDescent="0.25">
      <c r="A2420" t="str">
        <f t="shared" si="79"/>
        <v>60</v>
      </c>
      <c r="B2420" t="str">
        <f>"60.0427"</f>
        <v>60.0427</v>
      </c>
      <c r="C2420" t="s">
        <v>2150</v>
      </c>
    </row>
    <row r="2421" spans="1:3" x14ac:dyDescent="0.25">
      <c r="A2421" t="str">
        <f t="shared" si="79"/>
        <v>60</v>
      </c>
      <c r="B2421" t="str">
        <f>"60.0428"</f>
        <v>60.0428</v>
      </c>
      <c r="C2421" t="s">
        <v>2151</v>
      </c>
    </row>
    <row r="2422" spans="1:3" x14ac:dyDescent="0.25">
      <c r="A2422" t="str">
        <f t="shared" si="79"/>
        <v>60</v>
      </c>
      <c r="B2422" t="str">
        <f>"60.0429"</f>
        <v>60.0429</v>
      </c>
      <c r="C2422" t="s">
        <v>2152</v>
      </c>
    </row>
    <row r="2423" spans="1:3" x14ac:dyDescent="0.25">
      <c r="A2423" t="str">
        <f t="shared" ref="A2423:A2486" si="80">"60"</f>
        <v>60</v>
      </c>
      <c r="B2423" t="str">
        <f>"60.0430"</f>
        <v>60.0430</v>
      </c>
      <c r="C2423" t="s">
        <v>2153</v>
      </c>
    </row>
    <row r="2424" spans="1:3" x14ac:dyDescent="0.25">
      <c r="A2424" t="str">
        <f t="shared" si="80"/>
        <v>60</v>
      </c>
      <c r="B2424" t="str">
        <f>"60.0431"</f>
        <v>60.0431</v>
      </c>
      <c r="C2424" t="s">
        <v>2154</v>
      </c>
    </row>
    <row r="2425" spans="1:3" x14ac:dyDescent="0.25">
      <c r="A2425" t="str">
        <f t="shared" si="80"/>
        <v>60</v>
      </c>
      <c r="B2425" t="str">
        <f>"60.0432"</f>
        <v>60.0432</v>
      </c>
      <c r="C2425" t="s">
        <v>2155</v>
      </c>
    </row>
    <row r="2426" spans="1:3" x14ac:dyDescent="0.25">
      <c r="A2426" t="str">
        <f t="shared" si="80"/>
        <v>60</v>
      </c>
      <c r="B2426" t="str">
        <f>"60.0433"</f>
        <v>60.0433</v>
      </c>
      <c r="C2426" t="s">
        <v>2156</v>
      </c>
    </row>
    <row r="2427" spans="1:3" x14ac:dyDescent="0.25">
      <c r="A2427" t="str">
        <f t="shared" si="80"/>
        <v>60</v>
      </c>
      <c r="B2427" t="str">
        <f>"60.0434"</f>
        <v>60.0434</v>
      </c>
      <c r="C2427" t="s">
        <v>2157</v>
      </c>
    </row>
    <row r="2428" spans="1:3" x14ac:dyDescent="0.25">
      <c r="A2428" t="str">
        <f t="shared" si="80"/>
        <v>60</v>
      </c>
      <c r="B2428" t="str">
        <f>"60.0499"</f>
        <v>60.0499</v>
      </c>
      <c r="C2428" t="s">
        <v>2158</v>
      </c>
    </row>
    <row r="2429" spans="1:3" x14ac:dyDescent="0.25">
      <c r="A2429" t="str">
        <f t="shared" si="80"/>
        <v>60</v>
      </c>
      <c r="B2429" t="str">
        <f>"60.05"</f>
        <v>60.05</v>
      </c>
      <c r="C2429" t="s">
        <v>2159</v>
      </c>
    </row>
    <row r="2430" spans="1:3" x14ac:dyDescent="0.25">
      <c r="A2430" t="str">
        <f t="shared" si="80"/>
        <v>60</v>
      </c>
      <c r="B2430" t="str">
        <f>"60.0501"</f>
        <v>60.0501</v>
      </c>
      <c r="C2430" t="s">
        <v>2160</v>
      </c>
    </row>
    <row r="2431" spans="1:3" x14ac:dyDescent="0.25">
      <c r="A2431" t="str">
        <f t="shared" si="80"/>
        <v>60</v>
      </c>
      <c r="B2431" t="str">
        <f>"60.0502"</f>
        <v>60.0502</v>
      </c>
      <c r="C2431" t="s">
        <v>2161</v>
      </c>
    </row>
    <row r="2432" spans="1:3" x14ac:dyDescent="0.25">
      <c r="A2432" t="str">
        <f t="shared" si="80"/>
        <v>60</v>
      </c>
      <c r="B2432" t="str">
        <f>"60.0503"</f>
        <v>60.0503</v>
      </c>
      <c r="C2432" t="s">
        <v>2162</v>
      </c>
    </row>
    <row r="2433" spans="1:3" x14ac:dyDescent="0.25">
      <c r="A2433" t="str">
        <f t="shared" si="80"/>
        <v>60</v>
      </c>
      <c r="B2433" t="str">
        <f>"60.0504"</f>
        <v>60.0504</v>
      </c>
      <c r="C2433" t="s">
        <v>2163</v>
      </c>
    </row>
    <row r="2434" spans="1:3" x14ac:dyDescent="0.25">
      <c r="A2434" t="str">
        <f t="shared" si="80"/>
        <v>60</v>
      </c>
      <c r="B2434" t="str">
        <f>"60.0505"</f>
        <v>60.0505</v>
      </c>
      <c r="C2434" t="s">
        <v>2164</v>
      </c>
    </row>
    <row r="2435" spans="1:3" x14ac:dyDescent="0.25">
      <c r="A2435" t="str">
        <f t="shared" si="80"/>
        <v>60</v>
      </c>
      <c r="B2435" t="str">
        <f>"60.0506"</f>
        <v>60.0506</v>
      </c>
      <c r="C2435" t="s">
        <v>2165</v>
      </c>
    </row>
    <row r="2436" spans="1:3" x14ac:dyDescent="0.25">
      <c r="A2436" t="str">
        <f t="shared" si="80"/>
        <v>60</v>
      </c>
      <c r="B2436" t="str">
        <f>"60.0507"</f>
        <v>60.0507</v>
      </c>
      <c r="C2436" t="s">
        <v>2166</v>
      </c>
    </row>
    <row r="2437" spans="1:3" x14ac:dyDescent="0.25">
      <c r="A2437" t="str">
        <f t="shared" si="80"/>
        <v>60</v>
      </c>
      <c r="B2437" t="str">
        <f>"60.0508"</f>
        <v>60.0508</v>
      </c>
      <c r="C2437" t="s">
        <v>2167</v>
      </c>
    </row>
    <row r="2438" spans="1:3" x14ac:dyDescent="0.25">
      <c r="A2438" t="str">
        <f t="shared" si="80"/>
        <v>60</v>
      </c>
      <c r="B2438" t="str">
        <f>"60.0509"</f>
        <v>60.0509</v>
      </c>
      <c r="C2438" t="s">
        <v>2168</v>
      </c>
    </row>
    <row r="2439" spans="1:3" x14ac:dyDescent="0.25">
      <c r="A2439" t="str">
        <f t="shared" si="80"/>
        <v>60</v>
      </c>
      <c r="B2439" t="str">
        <f>"60.0510"</f>
        <v>60.0510</v>
      </c>
      <c r="C2439" t="s">
        <v>2169</v>
      </c>
    </row>
    <row r="2440" spans="1:3" x14ac:dyDescent="0.25">
      <c r="A2440" t="str">
        <f t="shared" si="80"/>
        <v>60</v>
      </c>
      <c r="B2440" t="str">
        <f>"60.0511"</f>
        <v>60.0511</v>
      </c>
      <c r="C2440" t="s">
        <v>2170</v>
      </c>
    </row>
    <row r="2441" spans="1:3" x14ac:dyDescent="0.25">
      <c r="A2441" t="str">
        <f t="shared" si="80"/>
        <v>60</v>
      </c>
      <c r="B2441" t="str">
        <f>"60.0512"</f>
        <v>60.0512</v>
      </c>
      <c r="C2441" t="s">
        <v>2171</v>
      </c>
    </row>
    <row r="2442" spans="1:3" x14ac:dyDescent="0.25">
      <c r="A2442" t="str">
        <f t="shared" si="80"/>
        <v>60</v>
      </c>
      <c r="B2442" t="str">
        <f>"60.0513"</f>
        <v>60.0513</v>
      </c>
      <c r="C2442" t="s">
        <v>2172</v>
      </c>
    </row>
    <row r="2443" spans="1:3" x14ac:dyDescent="0.25">
      <c r="A2443" t="str">
        <f t="shared" si="80"/>
        <v>60</v>
      </c>
      <c r="B2443" t="str">
        <f>"60.0514"</f>
        <v>60.0514</v>
      </c>
      <c r="C2443" t="s">
        <v>2173</v>
      </c>
    </row>
    <row r="2444" spans="1:3" x14ac:dyDescent="0.25">
      <c r="A2444" t="str">
        <f t="shared" si="80"/>
        <v>60</v>
      </c>
      <c r="B2444" t="str">
        <f>"60.0515"</f>
        <v>60.0515</v>
      </c>
      <c r="C2444" t="s">
        <v>2174</v>
      </c>
    </row>
    <row r="2445" spans="1:3" x14ac:dyDescent="0.25">
      <c r="A2445" t="str">
        <f t="shared" si="80"/>
        <v>60</v>
      </c>
      <c r="B2445" t="str">
        <f>"60.0516"</f>
        <v>60.0516</v>
      </c>
      <c r="C2445" t="s">
        <v>2175</v>
      </c>
    </row>
    <row r="2446" spans="1:3" x14ac:dyDescent="0.25">
      <c r="A2446" t="str">
        <f t="shared" si="80"/>
        <v>60</v>
      </c>
      <c r="B2446" t="str">
        <f>"60.0517"</f>
        <v>60.0517</v>
      </c>
      <c r="C2446" t="s">
        <v>2176</v>
      </c>
    </row>
    <row r="2447" spans="1:3" x14ac:dyDescent="0.25">
      <c r="A2447" t="str">
        <f t="shared" si="80"/>
        <v>60</v>
      </c>
      <c r="B2447" t="str">
        <f>"60.0518"</f>
        <v>60.0518</v>
      </c>
      <c r="C2447" t="s">
        <v>2177</v>
      </c>
    </row>
    <row r="2448" spans="1:3" x14ac:dyDescent="0.25">
      <c r="A2448" t="str">
        <f t="shared" si="80"/>
        <v>60</v>
      </c>
      <c r="B2448" t="str">
        <f>"60.0519"</f>
        <v>60.0519</v>
      </c>
      <c r="C2448" t="s">
        <v>2178</v>
      </c>
    </row>
    <row r="2449" spans="1:3" x14ac:dyDescent="0.25">
      <c r="A2449" t="str">
        <f t="shared" si="80"/>
        <v>60</v>
      </c>
      <c r="B2449" t="str">
        <f>"60.0520"</f>
        <v>60.0520</v>
      </c>
      <c r="C2449" t="s">
        <v>2179</v>
      </c>
    </row>
    <row r="2450" spans="1:3" x14ac:dyDescent="0.25">
      <c r="A2450" t="str">
        <f t="shared" si="80"/>
        <v>60</v>
      </c>
      <c r="B2450" t="str">
        <f>"60.0521"</f>
        <v>60.0521</v>
      </c>
      <c r="C2450" t="s">
        <v>2180</v>
      </c>
    </row>
    <row r="2451" spans="1:3" x14ac:dyDescent="0.25">
      <c r="A2451" t="str">
        <f t="shared" si="80"/>
        <v>60</v>
      </c>
      <c r="B2451" t="str">
        <f>"60.0522"</f>
        <v>60.0522</v>
      </c>
      <c r="C2451" t="s">
        <v>2181</v>
      </c>
    </row>
    <row r="2452" spans="1:3" x14ac:dyDescent="0.25">
      <c r="A2452" t="str">
        <f t="shared" si="80"/>
        <v>60</v>
      </c>
      <c r="B2452" t="str">
        <f>"60.0523"</f>
        <v>60.0523</v>
      </c>
      <c r="C2452" t="s">
        <v>2182</v>
      </c>
    </row>
    <row r="2453" spans="1:3" x14ac:dyDescent="0.25">
      <c r="A2453" t="str">
        <f t="shared" si="80"/>
        <v>60</v>
      </c>
      <c r="B2453" t="str">
        <f>"60.0524"</f>
        <v>60.0524</v>
      </c>
      <c r="C2453" t="s">
        <v>2183</v>
      </c>
    </row>
    <row r="2454" spans="1:3" x14ac:dyDescent="0.25">
      <c r="A2454" t="str">
        <f t="shared" si="80"/>
        <v>60</v>
      </c>
      <c r="B2454" t="str">
        <f>"60.0525"</f>
        <v>60.0525</v>
      </c>
      <c r="C2454" t="s">
        <v>2184</v>
      </c>
    </row>
    <row r="2455" spans="1:3" x14ac:dyDescent="0.25">
      <c r="A2455" t="str">
        <f t="shared" si="80"/>
        <v>60</v>
      </c>
      <c r="B2455" t="str">
        <f>"60.0526"</f>
        <v>60.0526</v>
      </c>
      <c r="C2455" t="s">
        <v>2185</v>
      </c>
    </row>
    <row r="2456" spans="1:3" x14ac:dyDescent="0.25">
      <c r="A2456" t="str">
        <f t="shared" si="80"/>
        <v>60</v>
      </c>
      <c r="B2456" t="str">
        <f>"60.0527"</f>
        <v>60.0527</v>
      </c>
      <c r="C2456" t="s">
        <v>2186</v>
      </c>
    </row>
    <row r="2457" spans="1:3" x14ac:dyDescent="0.25">
      <c r="A2457" t="str">
        <f t="shared" si="80"/>
        <v>60</v>
      </c>
      <c r="B2457" t="str">
        <f>"60.0528"</f>
        <v>60.0528</v>
      </c>
      <c r="C2457" t="s">
        <v>2187</v>
      </c>
    </row>
    <row r="2458" spans="1:3" x14ac:dyDescent="0.25">
      <c r="A2458" t="str">
        <f t="shared" si="80"/>
        <v>60</v>
      </c>
      <c r="B2458" t="str">
        <f>"60.0529"</f>
        <v>60.0529</v>
      </c>
      <c r="C2458" t="s">
        <v>2188</v>
      </c>
    </row>
    <row r="2459" spans="1:3" x14ac:dyDescent="0.25">
      <c r="A2459" t="str">
        <f t="shared" si="80"/>
        <v>60</v>
      </c>
      <c r="B2459" t="str">
        <f>"60.0530"</f>
        <v>60.0530</v>
      </c>
      <c r="C2459" t="s">
        <v>2189</v>
      </c>
    </row>
    <row r="2460" spans="1:3" x14ac:dyDescent="0.25">
      <c r="A2460" t="str">
        <f t="shared" si="80"/>
        <v>60</v>
      </c>
      <c r="B2460" t="str">
        <f>"60.0531"</f>
        <v>60.0531</v>
      </c>
      <c r="C2460" t="s">
        <v>2190</v>
      </c>
    </row>
    <row r="2461" spans="1:3" x14ac:dyDescent="0.25">
      <c r="A2461" t="str">
        <f t="shared" si="80"/>
        <v>60</v>
      </c>
      <c r="B2461" t="str">
        <f>"60.0532"</f>
        <v>60.0532</v>
      </c>
      <c r="C2461" t="s">
        <v>2191</v>
      </c>
    </row>
    <row r="2462" spans="1:3" x14ac:dyDescent="0.25">
      <c r="A2462" t="str">
        <f t="shared" si="80"/>
        <v>60</v>
      </c>
      <c r="B2462" t="str">
        <f>"60.0533"</f>
        <v>60.0533</v>
      </c>
      <c r="C2462" t="s">
        <v>2192</v>
      </c>
    </row>
    <row r="2463" spans="1:3" x14ac:dyDescent="0.25">
      <c r="A2463" t="str">
        <f t="shared" si="80"/>
        <v>60</v>
      </c>
      <c r="B2463" t="str">
        <f>"60.0534"</f>
        <v>60.0534</v>
      </c>
      <c r="C2463" t="s">
        <v>2193</v>
      </c>
    </row>
    <row r="2464" spans="1:3" x14ac:dyDescent="0.25">
      <c r="A2464" t="str">
        <f t="shared" si="80"/>
        <v>60</v>
      </c>
      <c r="B2464" t="str">
        <f>"60.0535"</f>
        <v>60.0535</v>
      </c>
      <c r="C2464" t="s">
        <v>2194</v>
      </c>
    </row>
    <row r="2465" spans="1:3" x14ac:dyDescent="0.25">
      <c r="A2465" t="str">
        <f t="shared" si="80"/>
        <v>60</v>
      </c>
      <c r="B2465" t="str">
        <f>"60.0536"</f>
        <v>60.0536</v>
      </c>
      <c r="C2465" t="s">
        <v>2195</v>
      </c>
    </row>
    <row r="2466" spans="1:3" x14ac:dyDescent="0.25">
      <c r="A2466" t="str">
        <f t="shared" si="80"/>
        <v>60</v>
      </c>
      <c r="B2466" t="str">
        <f>"60.0537"</f>
        <v>60.0537</v>
      </c>
      <c r="C2466" t="s">
        <v>2196</v>
      </c>
    </row>
    <row r="2467" spans="1:3" x14ac:dyDescent="0.25">
      <c r="A2467" t="str">
        <f t="shared" si="80"/>
        <v>60</v>
      </c>
      <c r="B2467" t="str">
        <f>"60.0538"</f>
        <v>60.0538</v>
      </c>
      <c r="C2467" t="s">
        <v>2197</v>
      </c>
    </row>
    <row r="2468" spans="1:3" x14ac:dyDescent="0.25">
      <c r="A2468" t="str">
        <f t="shared" si="80"/>
        <v>60</v>
      </c>
      <c r="B2468" t="str">
        <f>"60.0539"</f>
        <v>60.0539</v>
      </c>
      <c r="C2468" t="s">
        <v>2198</v>
      </c>
    </row>
    <row r="2469" spans="1:3" x14ac:dyDescent="0.25">
      <c r="A2469" t="str">
        <f t="shared" si="80"/>
        <v>60</v>
      </c>
      <c r="B2469" t="str">
        <f>"60.0540"</f>
        <v>60.0540</v>
      </c>
      <c r="C2469" t="s">
        <v>2199</v>
      </c>
    </row>
    <row r="2470" spans="1:3" x14ac:dyDescent="0.25">
      <c r="A2470" t="str">
        <f t="shared" si="80"/>
        <v>60</v>
      </c>
      <c r="B2470" t="str">
        <f>"60.0541"</f>
        <v>60.0541</v>
      </c>
      <c r="C2470" t="s">
        <v>2200</v>
      </c>
    </row>
    <row r="2471" spans="1:3" x14ac:dyDescent="0.25">
      <c r="A2471" t="str">
        <f t="shared" si="80"/>
        <v>60</v>
      </c>
      <c r="B2471" t="str">
        <f>"60.0542"</f>
        <v>60.0542</v>
      </c>
      <c r="C2471" t="s">
        <v>2201</v>
      </c>
    </row>
    <row r="2472" spans="1:3" x14ac:dyDescent="0.25">
      <c r="A2472" t="str">
        <f t="shared" si="80"/>
        <v>60</v>
      </c>
      <c r="B2472" t="str">
        <f>"60.0543"</f>
        <v>60.0543</v>
      </c>
      <c r="C2472" t="s">
        <v>2202</v>
      </c>
    </row>
    <row r="2473" spans="1:3" x14ac:dyDescent="0.25">
      <c r="A2473" t="str">
        <f t="shared" si="80"/>
        <v>60</v>
      </c>
      <c r="B2473" t="str">
        <f>"60.0544"</f>
        <v>60.0544</v>
      </c>
      <c r="C2473" t="s">
        <v>2203</v>
      </c>
    </row>
    <row r="2474" spans="1:3" x14ac:dyDescent="0.25">
      <c r="A2474" t="str">
        <f t="shared" si="80"/>
        <v>60</v>
      </c>
      <c r="B2474" t="str">
        <f>"60.0545"</f>
        <v>60.0545</v>
      </c>
      <c r="C2474" t="s">
        <v>2204</v>
      </c>
    </row>
    <row r="2475" spans="1:3" x14ac:dyDescent="0.25">
      <c r="A2475" t="str">
        <f t="shared" si="80"/>
        <v>60</v>
      </c>
      <c r="B2475" t="str">
        <f>"60.0546"</f>
        <v>60.0546</v>
      </c>
      <c r="C2475" t="s">
        <v>2205</v>
      </c>
    </row>
    <row r="2476" spans="1:3" x14ac:dyDescent="0.25">
      <c r="A2476" t="str">
        <f t="shared" si="80"/>
        <v>60</v>
      </c>
      <c r="B2476" t="str">
        <f>"60.0547"</f>
        <v>60.0547</v>
      </c>
      <c r="C2476" t="s">
        <v>2206</v>
      </c>
    </row>
    <row r="2477" spans="1:3" x14ac:dyDescent="0.25">
      <c r="A2477" t="str">
        <f t="shared" si="80"/>
        <v>60</v>
      </c>
      <c r="B2477" t="str">
        <f>"60.0548"</f>
        <v>60.0548</v>
      </c>
      <c r="C2477" t="s">
        <v>2207</v>
      </c>
    </row>
    <row r="2478" spans="1:3" x14ac:dyDescent="0.25">
      <c r="A2478" t="str">
        <f t="shared" si="80"/>
        <v>60</v>
      </c>
      <c r="B2478" t="str">
        <f>"60.0549"</f>
        <v>60.0549</v>
      </c>
      <c r="C2478" t="s">
        <v>2208</v>
      </c>
    </row>
    <row r="2479" spans="1:3" x14ac:dyDescent="0.25">
      <c r="A2479" t="str">
        <f t="shared" si="80"/>
        <v>60</v>
      </c>
      <c r="B2479" t="str">
        <f>"60.0550"</f>
        <v>60.0550</v>
      </c>
      <c r="C2479" t="s">
        <v>2209</v>
      </c>
    </row>
    <row r="2480" spans="1:3" x14ac:dyDescent="0.25">
      <c r="A2480" t="str">
        <f t="shared" si="80"/>
        <v>60</v>
      </c>
      <c r="B2480" t="str">
        <f>"60.0551"</f>
        <v>60.0551</v>
      </c>
      <c r="C2480" t="s">
        <v>2210</v>
      </c>
    </row>
    <row r="2481" spans="1:3" x14ac:dyDescent="0.25">
      <c r="A2481" t="str">
        <f t="shared" si="80"/>
        <v>60</v>
      </c>
      <c r="B2481" t="str">
        <f>"60.0552"</f>
        <v>60.0552</v>
      </c>
      <c r="C2481" t="s">
        <v>2211</v>
      </c>
    </row>
    <row r="2482" spans="1:3" x14ac:dyDescent="0.25">
      <c r="A2482" t="str">
        <f t="shared" si="80"/>
        <v>60</v>
      </c>
      <c r="B2482" t="str">
        <f>"60.0553"</f>
        <v>60.0553</v>
      </c>
      <c r="C2482" t="s">
        <v>2212</v>
      </c>
    </row>
    <row r="2483" spans="1:3" x14ac:dyDescent="0.25">
      <c r="A2483" t="str">
        <f t="shared" si="80"/>
        <v>60</v>
      </c>
      <c r="B2483" t="str">
        <f>"60.0554"</f>
        <v>60.0554</v>
      </c>
      <c r="C2483" t="s">
        <v>2213</v>
      </c>
    </row>
    <row r="2484" spans="1:3" x14ac:dyDescent="0.25">
      <c r="A2484" t="str">
        <f t="shared" si="80"/>
        <v>60</v>
      </c>
      <c r="B2484" t="str">
        <f>"60.0555"</f>
        <v>60.0555</v>
      </c>
      <c r="C2484" t="s">
        <v>2214</v>
      </c>
    </row>
    <row r="2485" spans="1:3" x14ac:dyDescent="0.25">
      <c r="A2485" t="str">
        <f t="shared" si="80"/>
        <v>60</v>
      </c>
      <c r="B2485" t="str">
        <f>"60.0556"</f>
        <v>60.0556</v>
      </c>
      <c r="C2485" t="s">
        <v>2215</v>
      </c>
    </row>
    <row r="2486" spans="1:3" x14ac:dyDescent="0.25">
      <c r="A2486" t="str">
        <f t="shared" si="80"/>
        <v>60</v>
      </c>
      <c r="B2486" t="str">
        <f>"60.0557"</f>
        <v>60.0557</v>
      </c>
      <c r="C2486" t="s">
        <v>2216</v>
      </c>
    </row>
    <row r="2487" spans="1:3" x14ac:dyDescent="0.25">
      <c r="A2487" t="str">
        <f t="shared" ref="A2487:A2550" si="81">"60"</f>
        <v>60</v>
      </c>
      <c r="B2487" t="str">
        <f>"60.0558"</f>
        <v>60.0558</v>
      </c>
      <c r="C2487" t="s">
        <v>2217</v>
      </c>
    </row>
    <row r="2488" spans="1:3" x14ac:dyDescent="0.25">
      <c r="A2488" t="str">
        <f t="shared" si="81"/>
        <v>60</v>
      </c>
      <c r="B2488" t="str">
        <f>"60.0559"</f>
        <v>60.0559</v>
      </c>
      <c r="C2488" t="s">
        <v>2218</v>
      </c>
    </row>
    <row r="2489" spans="1:3" x14ac:dyDescent="0.25">
      <c r="A2489" t="str">
        <f t="shared" si="81"/>
        <v>60</v>
      </c>
      <c r="B2489" t="str">
        <f>"60.0560"</f>
        <v>60.0560</v>
      </c>
      <c r="C2489" t="s">
        <v>2219</v>
      </c>
    </row>
    <row r="2490" spans="1:3" x14ac:dyDescent="0.25">
      <c r="A2490" t="str">
        <f t="shared" si="81"/>
        <v>60</v>
      </c>
      <c r="B2490" t="str">
        <f>"60.0561"</f>
        <v>60.0561</v>
      </c>
      <c r="C2490" t="s">
        <v>2220</v>
      </c>
    </row>
    <row r="2491" spans="1:3" x14ac:dyDescent="0.25">
      <c r="A2491" t="str">
        <f t="shared" si="81"/>
        <v>60</v>
      </c>
      <c r="B2491" t="str">
        <f>"60.0562"</f>
        <v>60.0562</v>
      </c>
      <c r="C2491" t="s">
        <v>2221</v>
      </c>
    </row>
    <row r="2492" spans="1:3" x14ac:dyDescent="0.25">
      <c r="A2492" t="str">
        <f t="shared" si="81"/>
        <v>60</v>
      </c>
      <c r="B2492" t="str">
        <f>"60.0563"</f>
        <v>60.0563</v>
      </c>
      <c r="C2492" t="s">
        <v>2222</v>
      </c>
    </row>
    <row r="2493" spans="1:3" x14ac:dyDescent="0.25">
      <c r="A2493" t="str">
        <f t="shared" si="81"/>
        <v>60</v>
      </c>
      <c r="B2493" t="str">
        <f>"60.0564"</f>
        <v>60.0564</v>
      </c>
      <c r="C2493" t="s">
        <v>2223</v>
      </c>
    </row>
    <row r="2494" spans="1:3" x14ac:dyDescent="0.25">
      <c r="A2494" t="str">
        <f t="shared" si="81"/>
        <v>60</v>
      </c>
      <c r="B2494" t="str">
        <f>"60.0565"</f>
        <v>60.0565</v>
      </c>
      <c r="C2494" t="s">
        <v>2224</v>
      </c>
    </row>
    <row r="2495" spans="1:3" x14ac:dyDescent="0.25">
      <c r="A2495" t="str">
        <f t="shared" si="81"/>
        <v>60</v>
      </c>
      <c r="B2495" t="str">
        <f>"60.0566"</f>
        <v>60.0566</v>
      </c>
      <c r="C2495" t="s">
        <v>2225</v>
      </c>
    </row>
    <row r="2496" spans="1:3" x14ac:dyDescent="0.25">
      <c r="A2496" t="str">
        <f t="shared" si="81"/>
        <v>60</v>
      </c>
      <c r="B2496" t="str">
        <f>"60.0567"</f>
        <v>60.0567</v>
      </c>
      <c r="C2496" t="s">
        <v>2226</v>
      </c>
    </row>
    <row r="2497" spans="1:3" x14ac:dyDescent="0.25">
      <c r="A2497" t="str">
        <f t="shared" si="81"/>
        <v>60</v>
      </c>
      <c r="B2497" t="str">
        <f>"60.0568"</f>
        <v>60.0568</v>
      </c>
      <c r="C2497" t="s">
        <v>2227</v>
      </c>
    </row>
    <row r="2498" spans="1:3" x14ac:dyDescent="0.25">
      <c r="A2498" t="str">
        <f t="shared" si="81"/>
        <v>60</v>
      </c>
      <c r="B2498" t="str">
        <f>"60.0569"</f>
        <v>60.0569</v>
      </c>
      <c r="C2498" t="s">
        <v>2228</v>
      </c>
    </row>
    <row r="2499" spans="1:3" x14ac:dyDescent="0.25">
      <c r="A2499" t="str">
        <f t="shared" si="81"/>
        <v>60</v>
      </c>
      <c r="B2499" t="str">
        <f>"60.0570"</f>
        <v>60.0570</v>
      </c>
      <c r="C2499" t="s">
        <v>2229</v>
      </c>
    </row>
    <row r="2500" spans="1:3" x14ac:dyDescent="0.25">
      <c r="A2500" t="str">
        <f t="shared" si="81"/>
        <v>60</v>
      </c>
      <c r="B2500" t="str">
        <f>"60.0571"</f>
        <v>60.0571</v>
      </c>
      <c r="C2500" t="s">
        <v>2230</v>
      </c>
    </row>
    <row r="2501" spans="1:3" x14ac:dyDescent="0.25">
      <c r="A2501" t="str">
        <f t="shared" si="81"/>
        <v>60</v>
      </c>
      <c r="B2501" t="str">
        <f>"60.0572"</f>
        <v>60.0572</v>
      </c>
      <c r="C2501" t="s">
        <v>2231</v>
      </c>
    </row>
    <row r="2502" spans="1:3" x14ac:dyDescent="0.25">
      <c r="A2502" t="str">
        <f t="shared" si="81"/>
        <v>60</v>
      </c>
      <c r="B2502" t="str">
        <f>"60.0573"</f>
        <v>60.0573</v>
      </c>
      <c r="C2502" t="s">
        <v>2232</v>
      </c>
    </row>
    <row r="2503" spans="1:3" x14ac:dyDescent="0.25">
      <c r="A2503" t="str">
        <f t="shared" si="81"/>
        <v>60</v>
      </c>
      <c r="B2503" t="str">
        <f>"60.0574"</f>
        <v>60.0574</v>
      </c>
      <c r="C2503" t="s">
        <v>2233</v>
      </c>
    </row>
    <row r="2504" spans="1:3" x14ac:dyDescent="0.25">
      <c r="A2504" t="str">
        <f t="shared" si="81"/>
        <v>60</v>
      </c>
      <c r="B2504" t="str">
        <f>"60.0575"</f>
        <v>60.0575</v>
      </c>
      <c r="C2504" t="s">
        <v>2234</v>
      </c>
    </row>
    <row r="2505" spans="1:3" x14ac:dyDescent="0.25">
      <c r="A2505" t="str">
        <f t="shared" si="81"/>
        <v>60</v>
      </c>
      <c r="B2505" t="str">
        <f>"60.0576"</f>
        <v>60.0576</v>
      </c>
      <c r="C2505" t="s">
        <v>2235</v>
      </c>
    </row>
    <row r="2506" spans="1:3" x14ac:dyDescent="0.25">
      <c r="A2506" t="str">
        <f t="shared" si="81"/>
        <v>60</v>
      </c>
      <c r="B2506" t="str">
        <f>"60.0577"</f>
        <v>60.0577</v>
      </c>
      <c r="C2506" t="s">
        <v>2236</v>
      </c>
    </row>
    <row r="2507" spans="1:3" x14ac:dyDescent="0.25">
      <c r="A2507" t="str">
        <f t="shared" si="81"/>
        <v>60</v>
      </c>
      <c r="B2507" t="str">
        <f>"60.0578"</f>
        <v>60.0578</v>
      </c>
      <c r="C2507" t="s">
        <v>2237</v>
      </c>
    </row>
    <row r="2508" spans="1:3" x14ac:dyDescent="0.25">
      <c r="A2508" t="str">
        <f t="shared" si="81"/>
        <v>60</v>
      </c>
      <c r="B2508" t="str">
        <f>"60.0579"</f>
        <v>60.0579</v>
      </c>
      <c r="C2508" t="s">
        <v>2238</v>
      </c>
    </row>
    <row r="2509" spans="1:3" x14ac:dyDescent="0.25">
      <c r="A2509" t="str">
        <f t="shared" si="81"/>
        <v>60</v>
      </c>
      <c r="B2509" t="str">
        <f>"60.0580"</f>
        <v>60.0580</v>
      </c>
      <c r="C2509" t="s">
        <v>2239</v>
      </c>
    </row>
    <row r="2510" spans="1:3" x14ac:dyDescent="0.25">
      <c r="A2510" t="str">
        <f t="shared" si="81"/>
        <v>60</v>
      </c>
      <c r="B2510" t="str">
        <f>"60.0581"</f>
        <v>60.0581</v>
      </c>
      <c r="C2510" t="s">
        <v>2240</v>
      </c>
    </row>
    <row r="2511" spans="1:3" x14ac:dyDescent="0.25">
      <c r="A2511" t="str">
        <f t="shared" si="81"/>
        <v>60</v>
      </c>
      <c r="B2511" t="str">
        <f>"60.0582"</f>
        <v>60.0582</v>
      </c>
      <c r="C2511" t="s">
        <v>2241</v>
      </c>
    </row>
    <row r="2512" spans="1:3" x14ac:dyDescent="0.25">
      <c r="A2512" t="str">
        <f t="shared" si="81"/>
        <v>60</v>
      </c>
      <c r="B2512" t="str">
        <f>"60.0583"</f>
        <v>60.0583</v>
      </c>
      <c r="C2512" t="s">
        <v>2242</v>
      </c>
    </row>
    <row r="2513" spans="1:3" x14ac:dyDescent="0.25">
      <c r="A2513" t="str">
        <f t="shared" si="81"/>
        <v>60</v>
      </c>
      <c r="B2513" t="str">
        <f>"60.0584"</f>
        <v>60.0584</v>
      </c>
      <c r="C2513" t="s">
        <v>2243</v>
      </c>
    </row>
    <row r="2514" spans="1:3" x14ac:dyDescent="0.25">
      <c r="A2514" t="str">
        <f t="shared" si="81"/>
        <v>60</v>
      </c>
      <c r="B2514" t="str">
        <f>"60.0599"</f>
        <v>60.0599</v>
      </c>
      <c r="C2514" t="s">
        <v>2244</v>
      </c>
    </row>
    <row r="2515" spans="1:3" x14ac:dyDescent="0.25">
      <c r="A2515" t="str">
        <f t="shared" si="81"/>
        <v>60</v>
      </c>
      <c r="B2515" t="str">
        <f>"60.06"</f>
        <v>60.06</v>
      </c>
      <c r="C2515" t="s">
        <v>2245</v>
      </c>
    </row>
    <row r="2516" spans="1:3" x14ac:dyDescent="0.25">
      <c r="A2516" t="str">
        <f t="shared" si="81"/>
        <v>60</v>
      </c>
      <c r="B2516" t="str">
        <f>"60.0601"</f>
        <v>60.0601</v>
      </c>
      <c r="C2516" t="s">
        <v>2246</v>
      </c>
    </row>
    <row r="2517" spans="1:3" x14ac:dyDescent="0.25">
      <c r="A2517" t="str">
        <f t="shared" si="81"/>
        <v>60</v>
      </c>
      <c r="B2517" t="str">
        <f>"60.0602"</f>
        <v>60.0602</v>
      </c>
      <c r="C2517" t="s">
        <v>2247</v>
      </c>
    </row>
    <row r="2518" spans="1:3" x14ac:dyDescent="0.25">
      <c r="A2518" t="str">
        <f t="shared" si="81"/>
        <v>60</v>
      </c>
      <c r="B2518" t="str">
        <f>"60.07"</f>
        <v>60.07</v>
      </c>
      <c r="C2518" t="s">
        <v>2248</v>
      </c>
    </row>
    <row r="2519" spans="1:3" x14ac:dyDescent="0.25">
      <c r="A2519" t="str">
        <f t="shared" si="81"/>
        <v>60</v>
      </c>
      <c r="B2519" t="str">
        <f>"60.0701"</f>
        <v>60.0701</v>
      </c>
      <c r="C2519" t="s">
        <v>2249</v>
      </c>
    </row>
    <row r="2520" spans="1:3" x14ac:dyDescent="0.25">
      <c r="A2520" t="str">
        <f t="shared" si="81"/>
        <v>60</v>
      </c>
      <c r="B2520" t="str">
        <f>"60.0702"</f>
        <v>60.0702</v>
      </c>
      <c r="C2520" t="s">
        <v>2250</v>
      </c>
    </row>
    <row r="2521" spans="1:3" x14ac:dyDescent="0.25">
      <c r="A2521" t="str">
        <f t="shared" si="81"/>
        <v>60</v>
      </c>
      <c r="B2521" t="str">
        <f>"60.0703"</f>
        <v>60.0703</v>
      </c>
      <c r="C2521" t="s">
        <v>2251</v>
      </c>
    </row>
    <row r="2522" spans="1:3" x14ac:dyDescent="0.25">
      <c r="A2522" t="str">
        <f t="shared" si="81"/>
        <v>60</v>
      </c>
      <c r="B2522" t="str">
        <f>"60.0704"</f>
        <v>60.0704</v>
      </c>
      <c r="C2522" t="s">
        <v>2252</v>
      </c>
    </row>
    <row r="2523" spans="1:3" x14ac:dyDescent="0.25">
      <c r="A2523" t="str">
        <f t="shared" si="81"/>
        <v>60</v>
      </c>
      <c r="B2523" t="str">
        <f>"60.0705"</f>
        <v>60.0705</v>
      </c>
      <c r="C2523" t="s">
        <v>2253</v>
      </c>
    </row>
    <row r="2524" spans="1:3" x14ac:dyDescent="0.25">
      <c r="A2524" t="str">
        <f t="shared" si="81"/>
        <v>60</v>
      </c>
      <c r="B2524" t="str">
        <f>"60.0706"</f>
        <v>60.0706</v>
      </c>
      <c r="C2524" t="s">
        <v>2254</v>
      </c>
    </row>
    <row r="2525" spans="1:3" x14ac:dyDescent="0.25">
      <c r="A2525" t="str">
        <f t="shared" si="81"/>
        <v>60</v>
      </c>
      <c r="B2525" t="str">
        <f>"60.0707"</f>
        <v>60.0707</v>
      </c>
      <c r="C2525" t="s">
        <v>2255</v>
      </c>
    </row>
    <row r="2526" spans="1:3" x14ac:dyDescent="0.25">
      <c r="A2526" t="str">
        <f t="shared" si="81"/>
        <v>60</v>
      </c>
      <c r="B2526" t="str">
        <f>"60.0708"</f>
        <v>60.0708</v>
      </c>
      <c r="C2526" t="s">
        <v>2256</v>
      </c>
    </row>
    <row r="2527" spans="1:3" x14ac:dyDescent="0.25">
      <c r="A2527" t="str">
        <f t="shared" si="81"/>
        <v>60</v>
      </c>
      <c r="B2527" t="str">
        <f>"60.0709"</f>
        <v>60.0709</v>
      </c>
      <c r="C2527" t="s">
        <v>2257</v>
      </c>
    </row>
    <row r="2528" spans="1:3" x14ac:dyDescent="0.25">
      <c r="A2528" t="str">
        <f t="shared" si="81"/>
        <v>60</v>
      </c>
      <c r="B2528" t="str">
        <f>"60.0710"</f>
        <v>60.0710</v>
      </c>
      <c r="C2528" t="s">
        <v>2258</v>
      </c>
    </row>
    <row r="2529" spans="1:3" x14ac:dyDescent="0.25">
      <c r="A2529" t="str">
        <f t="shared" si="81"/>
        <v>60</v>
      </c>
      <c r="B2529" t="str">
        <f>"60.0711"</f>
        <v>60.0711</v>
      </c>
      <c r="C2529" t="s">
        <v>2259</v>
      </c>
    </row>
    <row r="2530" spans="1:3" x14ac:dyDescent="0.25">
      <c r="A2530" t="str">
        <f t="shared" si="81"/>
        <v>60</v>
      </c>
      <c r="B2530" t="str">
        <f>"60.0712"</f>
        <v>60.0712</v>
      </c>
      <c r="C2530" t="s">
        <v>2260</v>
      </c>
    </row>
    <row r="2531" spans="1:3" x14ac:dyDescent="0.25">
      <c r="A2531" t="str">
        <f t="shared" si="81"/>
        <v>60</v>
      </c>
      <c r="B2531" t="str">
        <f>"60.0713"</f>
        <v>60.0713</v>
      </c>
      <c r="C2531" t="s">
        <v>2261</v>
      </c>
    </row>
    <row r="2532" spans="1:3" x14ac:dyDescent="0.25">
      <c r="A2532" t="str">
        <f t="shared" si="81"/>
        <v>60</v>
      </c>
      <c r="B2532" t="str">
        <f>"60.0714"</f>
        <v>60.0714</v>
      </c>
      <c r="C2532" t="s">
        <v>2262</v>
      </c>
    </row>
    <row r="2533" spans="1:3" x14ac:dyDescent="0.25">
      <c r="A2533" t="str">
        <f t="shared" si="81"/>
        <v>60</v>
      </c>
      <c r="B2533" t="str">
        <f>"60.0715"</f>
        <v>60.0715</v>
      </c>
      <c r="C2533" t="s">
        <v>2263</v>
      </c>
    </row>
    <row r="2534" spans="1:3" x14ac:dyDescent="0.25">
      <c r="A2534" t="str">
        <f t="shared" si="81"/>
        <v>60</v>
      </c>
      <c r="B2534" t="str">
        <f>"60.0716"</f>
        <v>60.0716</v>
      </c>
      <c r="C2534" t="s">
        <v>2264</v>
      </c>
    </row>
    <row r="2535" spans="1:3" x14ac:dyDescent="0.25">
      <c r="A2535" t="str">
        <f t="shared" si="81"/>
        <v>60</v>
      </c>
      <c r="B2535" t="str">
        <f>"60.0717"</f>
        <v>60.0717</v>
      </c>
      <c r="C2535" t="s">
        <v>2265</v>
      </c>
    </row>
    <row r="2536" spans="1:3" x14ac:dyDescent="0.25">
      <c r="A2536" t="str">
        <f t="shared" si="81"/>
        <v>60</v>
      </c>
      <c r="B2536" t="str">
        <f>"60.0718"</f>
        <v>60.0718</v>
      </c>
      <c r="C2536" t="s">
        <v>2266</v>
      </c>
    </row>
    <row r="2537" spans="1:3" x14ac:dyDescent="0.25">
      <c r="A2537" t="str">
        <f t="shared" si="81"/>
        <v>60</v>
      </c>
      <c r="B2537" t="str">
        <f>"60.0719"</f>
        <v>60.0719</v>
      </c>
      <c r="C2537" t="s">
        <v>2267</v>
      </c>
    </row>
    <row r="2538" spans="1:3" x14ac:dyDescent="0.25">
      <c r="A2538" t="str">
        <f t="shared" si="81"/>
        <v>60</v>
      </c>
      <c r="B2538" t="str">
        <f>"60.0720"</f>
        <v>60.0720</v>
      </c>
      <c r="C2538" t="s">
        <v>2268</v>
      </c>
    </row>
    <row r="2539" spans="1:3" x14ac:dyDescent="0.25">
      <c r="A2539" t="str">
        <f t="shared" si="81"/>
        <v>60</v>
      </c>
      <c r="B2539" t="str">
        <f>"60.0721"</f>
        <v>60.0721</v>
      </c>
      <c r="C2539" t="s">
        <v>2269</v>
      </c>
    </row>
    <row r="2540" spans="1:3" x14ac:dyDescent="0.25">
      <c r="A2540" t="str">
        <f t="shared" si="81"/>
        <v>60</v>
      </c>
      <c r="B2540" t="str">
        <f>"60.0722"</f>
        <v>60.0722</v>
      </c>
      <c r="C2540" t="s">
        <v>2270</v>
      </c>
    </row>
    <row r="2541" spans="1:3" x14ac:dyDescent="0.25">
      <c r="A2541" t="str">
        <f t="shared" si="81"/>
        <v>60</v>
      </c>
      <c r="B2541" t="str">
        <f>"60.0723"</f>
        <v>60.0723</v>
      </c>
      <c r="C2541" t="s">
        <v>2271</v>
      </c>
    </row>
    <row r="2542" spans="1:3" x14ac:dyDescent="0.25">
      <c r="A2542" t="str">
        <f t="shared" si="81"/>
        <v>60</v>
      </c>
      <c r="B2542" t="str">
        <f>"60.0724"</f>
        <v>60.0724</v>
      </c>
      <c r="C2542" t="s">
        <v>2272</v>
      </c>
    </row>
    <row r="2543" spans="1:3" x14ac:dyDescent="0.25">
      <c r="A2543" t="str">
        <f t="shared" si="81"/>
        <v>60</v>
      </c>
      <c r="B2543" t="str">
        <f>"60.0725"</f>
        <v>60.0725</v>
      </c>
      <c r="C2543" t="s">
        <v>2273</v>
      </c>
    </row>
    <row r="2544" spans="1:3" x14ac:dyDescent="0.25">
      <c r="A2544" t="str">
        <f t="shared" si="81"/>
        <v>60</v>
      </c>
      <c r="B2544" t="str">
        <f>"60.0726"</f>
        <v>60.0726</v>
      </c>
      <c r="C2544" t="s">
        <v>2274</v>
      </c>
    </row>
    <row r="2545" spans="1:3" x14ac:dyDescent="0.25">
      <c r="A2545" t="str">
        <f t="shared" si="81"/>
        <v>60</v>
      </c>
      <c r="B2545" t="str">
        <f>"60.0727"</f>
        <v>60.0727</v>
      </c>
      <c r="C2545" t="s">
        <v>2275</v>
      </c>
    </row>
    <row r="2546" spans="1:3" x14ac:dyDescent="0.25">
      <c r="A2546" t="str">
        <f t="shared" si="81"/>
        <v>60</v>
      </c>
      <c r="B2546" t="str">
        <f>"60.0728"</f>
        <v>60.0728</v>
      </c>
      <c r="C2546" t="s">
        <v>2276</v>
      </c>
    </row>
    <row r="2547" spans="1:3" x14ac:dyDescent="0.25">
      <c r="A2547" t="str">
        <f t="shared" si="81"/>
        <v>60</v>
      </c>
      <c r="B2547" t="str">
        <f>"60.0729"</f>
        <v>60.0729</v>
      </c>
      <c r="C2547" t="s">
        <v>2277</v>
      </c>
    </row>
    <row r="2548" spans="1:3" x14ac:dyDescent="0.25">
      <c r="A2548" t="str">
        <f t="shared" si="81"/>
        <v>60</v>
      </c>
      <c r="B2548" t="str">
        <f>"60.0730"</f>
        <v>60.0730</v>
      </c>
      <c r="C2548" t="s">
        <v>2278</v>
      </c>
    </row>
    <row r="2549" spans="1:3" x14ac:dyDescent="0.25">
      <c r="A2549" t="str">
        <f t="shared" si="81"/>
        <v>60</v>
      </c>
      <c r="B2549" t="str">
        <f>"60.0731"</f>
        <v>60.0731</v>
      </c>
      <c r="C2549" t="s">
        <v>2279</v>
      </c>
    </row>
    <row r="2550" spans="1:3" x14ac:dyDescent="0.25">
      <c r="A2550" t="str">
        <f t="shared" si="81"/>
        <v>60</v>
      </c>
      <c r="B2550" t="str">
        <f>"60.0732"</f>
        <v>60.0732</v>
      </c>
      <c r="C2550" t="s">
        <v>2280</v>
      </c>
    </row>
    <row r="2551" spans="1:3" x14ac:dyDescent="0.25">
      <c r="A2551" t="str">
        <f t="shared" ref="A2551:A2614" si="82">"60"</f>
        <v>60</v>
      </c>
      <c r="B2551" t="str">
        <f>"60.0733"</f>
        <v>60.0733</v>
      </c>
      <c r="C2551" t="s">
        <v>2281</v>
      </c>
    </row>
    <row r="2552" spans="1:3" x14ac:dyDescent="0.25">
      <c r="A2552" t="str">
        <f t="shared" si="82"/>
        <v>60</v>
      </c>
      <c r="B2552" t="str">
        <f>"60.0734"</f>
        <v>60.0734</v>
      </c>
      <c r="C2552" t="s">
        <v>2282</v>
      </c>
    </row>
    <row r="2553" spans="1:3" x14ac:dyDescent="0.25">
      <c r="A2553" t="str">
        <f t="shared" si="82"/>
        <v>60</v>
      </c>
      <c r="B2553" t="str">
        <f>"60.0735"</f>
        <v>60.0735</v>
      </c>
      <c r="C2553" t="s">
        <v>2283</v>
      </c>
    </row>
    <row r="2554" spans="1:3" x14ac:dyDescent="0.25">
      <c r="A2554" t="str">
        <f t="shared" si="82"/>
        <v>60</v>
      </c>
      <c r="B2554" t="str">
        <f>"60.0736"</f>
        <v>60.0736</v>
      </c>
      <c r="C2554" t="s">
        <v>2284</v>
      </c>
    </row>
    <row r="2555" spans="1:3" x14ac:dyDescent="0.25">
      <c r="A2555" t="str">
        <f t="shared" si="82"/>
        <v>60</v>
      </c>
      <c r="B2555" t="str">
        <f>"60.0737"</f>
        <v>60.0737</v>
      </c>
      <c r="C2555" t="s">
        <v>2285</v>
      </c>
    </row>
    <row r="2556" spans="1:3" x14ac:dyDescent="0.25">
      <c r="A2556" t="str">
        <f t="shared" si="82"/>
        <v>60</v>
      </c>
      <c r="B2556" t="str">
        <f>"60.0738"</f>
        <v>60.0738</v>
      </c>
      <c r="C2556" t="s">
        <v>2286</v>
      </c>
    </row>
    <row r="2557" spans="1:3" x14ac:dyDescent="0.25">
      <c r="A2557" t="str">
        <f t="shared" si="82"/>
        <v>60</v>
      </c>
      <c r="B2557" t="str">
        <f>"60.0739"</f>
        <v>60.0739</v>
      </c>
      <c r="C2557" t="s">
        <v>2287</v>
      </c>
    </row>
    <row r="2558" spans="1:3" x14ac:dyDescent="0.25">
      <c r="A2558" t="str">
        <f t="shared" si="82"/>
        <v>60</v>
      </c>
      <c r="B2558" t="str">
        <f>"60.0740"</f>
        <v>60.0740</v>
      </c>
      <c r="C2558" t="s">
        <v>2288</v>
      </c>
    </row>
    <row r="2559" spans="1:3" x14ac:dyDescent="0.25">
      <c r="A2559" t="str">
        <f t="shared" si="82"/>
        <v>60</v>
      </c>
      <c r="B2559" t="str">
        <f>"60.0741"</f>
        <v>60.0741</v>
      </c>
      <c r="C2559" t="s">
        <v>2289</v>
      </c>
    </row>
    <row r="2560" spans="1:3" x14ac:dyDescent="0.25">
      <c r="A2560" t="str">
        <f t="shared" si="82"/>
        <v>60</v>
      </c>
      <c r="B2560" t="str">
        <f>"60.0742"</f>
        <v>60.0742</v>
      </c>
      <c r="C2560" t="s">
        <v>2290</v>
      </c>
    </row>
    <row r="2561" spans="1:3" x14ac:dyDescent="0.25">
      <c r="A2561" t="str">
        <f t="shared" si="82"/>
        <v>60</v>
      </c>
      <c r="B2561" t="str">
        <f>"60.0743"</f>
        <v>60.0743</v>
      </c>
      <c r="C2561" t="s">
        <v>2291</v>
      </c>
    </row>
    <row r="2562" spans="1:3" x14ac:dyDescent="0.25">
      <c r="A2562" t="str">
        <f t="shared" si="82"/>
        <v>60</v>
      </c>
      <c r="B2562" t="str">
        <f>"60.0744"</f>
        <v>60.0744</v>
      </c>
      <c r="C2562" t="s">
        <v>2292</v>
      </c>
    </row>
    <row r="2563" spans="1:3" x14ac:dyDescent="0.25">
      <c r="A2563" t="str">
        <f t="shared" si="82"/>
        <v>60</v>
      </c>
      <c r="B2563" t="str">
        <f>"60.0745"</f>
        <v>60.0745</v>
      </c>
      <c r="C2563" t="s">
        <v>2293</v>
      </c>
    </row>
    <row r="2564" spans="1:3" x14ac:dyDescent="0.25">
      <c r="A2564" t="str">
        <f t="shared" si="82"/>
        <v>60</v>
      </c>
      <c r="B2564" t="str">
        <f>"60.0746"</f>
        <v>60.0746</v>
      </c>
      <c r="C2564" t="s">
        <v>2294</v>
      </c>
    </row>
    <row r="2565" spans="1:3" x14ac:dyDescent="0.25">
      <c r="A2565" t="str">
        <f t="shared" si="82"/>
        <v>60</v>
      </c>
      <c r="B2565" t="str">
        <f>"60.0747"</f>
        <v>60.0747</v>
      </c>
      <c r="C2565" t="s">
        <v>2295</v>
      </c>
    </row>
    <row r="2566" spans="1:3" x14ac:dyDescent="0.25">
      <c r="A2566" t="str">
        <f t="shared" si="82"/>
        <v>60</v>
      </c>
      <c r="B2566" t="str">
        <f>"60.0748"</f>
        <v>60.0748</v>
      </c>
      <c r="C2566" t="s">
        <v>2296</v>
      </c>
    </row>
    <row r="2567" spans="1:3" x14ac:dyDescent="0.25">
      <c r="A2567" t="str">
        <f t="shared" si="82"/>
        <v>60</v>
      </c>
      <c r="B2567" t="str">
        <f>"60.0749"</f>
        <v>60.0749</v>
      </c>
      <c r="C2567" t="s">
        <v>2297</v>
      </c>
    </row>
    <row r="2568" spans="1:3" x14ac:dyDescent="0.25">
      <c r="A2568" t="str">
        <f t="shared" si="82"/>
        <v>60</v>
      </c>
      <c r="B2568" t="str">
        <f>"60.0750"</f>
        <v>60.0750</v>
      </c>
      <c r="C2568" t="s">
        <v>2298</v>
      </c>
    </row>
    <row r="2569" spans="1:3" x14ac:dyDescent="0.25">
      <c r="A2569" t="str">
        <f t="shared" si="82"/>
        <v>60</v>
      </c>
      <c r="B2569" t="str">
        <f>"60.0751"</f>
        <v>60.0751</v>
      </c>
      <c r="C2569" t="s">
        <v>2299</v>
      </c>
    </row>
    <row r="2570" spans="1:3" x14ac:dyDescent="0.25">
      <c r="A2570" t="str">
        <f t="shared" si="82"/>
        <v>60</v>
      </c>
      <c r="B2570" t="str">
        <f>"60.0799"</f>
        <v>60.0799</v>
      </c>
      <c r="C2570" t="s">
        <v>2300</v>
      </c>
    </row>
    <row r="2571" spans="1:3" x14ac:dyDescent="0.25">
      <c r="A2571" t="str">
        <f t="shared" si="82"/>
        <v>60</v>
      </c>
      <c r="B2571" t="str">
        <f>"60.08"</f>
        <v>60.08</v>
      </c>
      <c r="C2571" t="s">
        <v>2301</v>
      </c>
    </row>
    <row r="2572" spans="1:3" x14ac:dyDescent="0.25">
      <c r="A2572" t="str">
        <f t="shared" si="82"/>
        <v>60</v>
      </c>
      <c r="B2572" t="str">
        <f>"60.0801"</f>
        <v>60.0801</v>
      </c>
      <c r="C2572" t="s">
        <v>2302</v>
      </c>
    </row>
    <row r="2573" spans="1:3" x14ac:dyDescent="0.25">
      <c r="A2573" t="str">
        <f t="shared" si="82"/>
        <v>60</v>
      </c>
      <c r="B2573" t="str">
        <f>"60.0802"</f>
        <v>60.0802</v>
      </c>
      <c r="C2573" t="s">
        <v>2303</v>
      </c>
    </row>
    <row r="2574" spans="1:3" x14ac:dyDescent="0.25">
      <c r="A2574" t="str">
        <f t="shared" si="82"/>
        <v>60</v>
      </c>
      <c r="B2574" t="str">
        <f>"60.0803"</f>
        <v>60.0803</v>
      </c>
      <c r="C2574" t="s">
        <v>2304</v>
      </c>
    </row>
    <row r="2575" spans="1:3" x14ac:dyDescent="0.25">
      <c r="A2575" t="str">
        <f t="shared" si="82"/>
        <v>60</v>
      </c>
      <c r="B2575" t="str">
        <f>"60.0804"</f>
        <v>60.0804</v>
      </c>
      <c r="C2575" t="s">
        <v>2305</v>
      </c>
    </row>
    <row r="2576" spans="1:3" x14ac:dyDescent="0.25">
      <c r="A2576" t="str">
        <f t="shared" si="82"/>
        <v>60</v>
      </c>
      <c r="B2576" t="str">
        <f>"60.0805"</f>
        <v>60.0805</v>
      </c>
      <c r="C2576" t="s">
        <v>2306</v>
      </c>
    </row>
    <row r="2577" spans="1:3" x14ac:dyDescent="0.25">
      <c r="A2577" t="str">
        <f t="shared" si="82"/>
        <v>60</v>
      </c>
      <c r="B2577" t="str">
        <f>"60.0806"</f>
        <v>60.0806</v>
      </c>
      <c r="C2577" t="s">
        <v>2307</v>
      </c>
    </row>
    <row r="2578" spans="1:3" x14ac:dyDescent="0.25">
      <c r="A2578" t="str">
        <f t="shared" si="82"/>
        <v>60</v>
      </c>
      <c r="B2578" t="str">
        <f>"60.0807"</f>
        <v>60.0807</v>
      </c>
      <c r="C2578" t="s">
        <v>2308</v>
      </c>
    </row>
    <row r="2579" spans="1:3" x14ac:dyDescent="0.25">
      <c r="A2579" t="str">
        <f t="shared" si="82"/>
        <v>60</v>
      </c>
      <c r="B2579" t="str">
        <f>"60.0808"</f>
        <v>60.0808</v>
      </c>
      <c r="C2579" t="s">
        <v>2309</v>
      </c>
    </row>
    <row r="2580" spans="1:3" x14ac:dyDescent="0.25">
      <c r="A2580" t="str">
        <f t="shared" si="82"/>
        <v>60</v>
      </c>
      <c r="B2580" t="str">
        <f>"60.0809"</f>
        <v>60.0809</v>
      </c>
      <c r="C2580" t="s">
        <v>2310</v>
      </c>
    </row>
    <row r="2581" spans="1:3" x14ac:dyDescent="0.25">
      <c r="A2581" t="str">
        <f t="shared" si="82"/>
        <v>60</v>
      </c>
      <c r="B2581" t="str">
        <f>"60.0810"</f>
        <v>60.0810</v>
      </c>
      <c r="C2581" t="s">
        <v>2311</v>
      </c>
    </row>
    <row r="2582" spans="1:3" x14ac:dyDescent="0.25">
      <c r="A2582" t="str">
        <f t="shared" si="82"/>
        <v>60</v>
      </c>
      <c r="B2582" t="str">
        <f>"60.0811"</f>
        <v>60.0811</v>
      </c>
      <c r="C2582" t="s">
        <v>2312</v>
      </c>
    </row>
    <row r="2583" spans="1:3" x14ac:dyDescent="0.25">
      <c r="A2583" t="str">
        <f t="shared" si="82"/>
        <v>60</v>
      </c>
      <c r="B2583" t="str">
        <f>"60.0812"</f>
        <v>60.0812</v>
      </c>
      <c r="C2583" t="s">
        <v>2313</v>
      </c>
    </row>
    <row r="2584" spans="1:3" x14ac:dyDescent="0.25">
      <c r="A2584" t="str">
        <f t="shared" si="82"/>
        <v>60</v>
      </c>
      <c r="B2584" t="str">
        <f>"60.0813"</f>
        <v>60.0813</v>
      </c>
      <c r="C2584" t="s">
        <v>2314</v>
      </c>
    </row>
    <row r="2585" spans="1:3" x14ac:dyDescent="0.25">
      <c r="A2585" t="str">
        <f t="shared" si="82"/>
        <v>60</v>
      </c>
      <c r="B2585" t="str">
        <f>"60.0814"</f>
        <v>60.0814</v>
      </c>
      <c r="C2585" t="s">
        <v>2315</v>
      </c>
    </row>
    <row r="2586" spans="1:3" x14ac:dyDescent="0.25">
      <c r="A2586" t="str">
        <f t="shared" si="82"/>
        <v>60</v>
      </c>
      <c r="B2586" t="str">
        <f>"60.0815"</f>
        <v>60.0815</v>
      </c>
      <c r="C2586" t="s">
        <v>2316</v>
      </c>
    </row>
    <row r="2587" spans="1:3" x14ac:dyDescent="0.25">
      <c r="A2587" t="str">
        <f t="shared" si="82"/>
        <v>60</v>
      </c>
      <c r="B2587" t="str">
        <f>"60.0816"</f>
        <v>60.0816</v>
      </c>
      <c r="C2587" t="s">
        <v>2317</v>
      </c>
    </row>
    <row r="2588" spans="1:3" x14ac:dyDescent="0.25">
      <c r="A2588" t="str">
        <f t="shared" si="82"/>
        <v>60</v>
      </c>
      <c r="B2588" t="str">
        <f>"60.0817"</f>
        <v>60.0817</v>
      </c>
      <c r="C2588" t="s">
        <v>2318</v>
      </c>
    </row>
    <row r="2589" spans="1:3" x14ac:dyDescent="0.25">
      <c r="A2589" t="str">
        <f t="shared" si="82"/>
        <v>60</v>
      </c>
      <c r="B2589" t="str">
        <f>"60.0818"</f>
        <v>60.0818</v>
      </c>
      <c r="C2589" t="s">
        <v>2319</v>
      </c>
    </row>
    <row r="2590" spans="1:3" x14ac:dyDescent="0.25">
      <c r="A2590" t="str">
        <f t="shared" si="82"/>
        <v>60</v>
      </c>
      <c r="B2590" t="str">
        <f>"60.0819"</f>
        <v>60.0819</v>
      </c>
      <c r="C2590" t="s">
        <v>2320</v>
      </c>
    </row>
    <row r="2591" spans="1:3" x14ac:dyDescent="0.25">
      <c r="A2591" t="str">
        <f t="shared" si="82"/>
        <v>60</v>
      </c>
      <c r="B2591" t="str">
        <f>"60.0820"</f>
        <v>60.0820</v>
      </c>
      <c r="C2591" t="s">
        <v>2321</v>
      </c>
    </row>
    <row r="2592" spans="1:3" x14ac:dyDescent="0.25">
      <c r="A2592" t="str">
        <f t="shared" si="82"/>
        <v>60</v>
      </c>
      <c r="B2592" t="str">
        <f>"60.0821"</f>
        <v>60.0821</v>
      </c>
      <c r="C2592" t="s">
        <v>2322</v>
      </c>
    </row>
    <row r="2593" spans="1:3" x14ac:dyDescent="0.25">
      <c r="A2593" t="str">
        <f t="shared" si="82"/>
        <v>60</v>
      </c>
      <c r="B2593" t="str">
        <f>"60.0822"</f>
        <v>60.0822</v>
      </c>
      <c r="C2593" t="s">
        <v>2323</v>
      </c>
    </row>
    <row r="2594" spans="1:3" x14ac:dyDescent="0.25">
      <c r="A2594" t="str">
        <f t="shared" si="82"/>
        <v>60</v>
      </c>
      <c r="B2594" t="str">
        <f>"60.0823"</f>
        <v>60.0823</v>
      </c>
      <c r="C2594" t="s">
        <v>2324</v>
      </c>
    </row>
    <row r="2595" spans="1:3" x14ac:dyDescent="0.25">
      <c r="A2595" t="str">
        <f t="shared" si="82"/>
        <v>60</v>
      </c>
      <c r="B2595" t="str">
        <f>"60.0824"</f>
        <v>60.0824</v>
      </c>
      <c r="C2595" t="s">
        <v>2325</v>
      </c>
    </row>
    <row r="2596" spans="1:3" x14ac:dyDescent="0.25">
      <c r="A2596" t="str">
        <f t="shared" si="82"/>
        <v>60</v>
      </c>
      <c r="B2596" t="str">
        <f>"60.0825"</f>
        <v>60.0825</v>
      </c>
      <c r="C2596" t="s">
        <v>2326</v>
      </c>
    </row>
    <row r="2597" spans="1:3" x14ac:dyDescent="0.25">
      <c r="A2597" t="str">
        <f t="shared" si="82"/>
        <v>60</v>
      </c>
      <c r="B2597" t="str">
        <f>"60.0826"</f>
        <v>60.0826</v>
      </c>
      <c r="C2597" t="s">
        <v>2327</v>
      </c>
    </row>
    <row r="2598" spans="1:3" x14ac:dyDescent="0.25">
      <c r="A2598" t="str">
        <f t="shared" si="82"/>
        <v>60</v>
      </c>
      <c r="B2598" t="str">
        <f>"60.0827"</f>
        <v>60.0827</v>
      </c>
      <c r="C2598" t="s">
        <v>2328</v>
      </c>
    </row>
    <row r="2599" spans="1:3" x14ac:dyDescent="0.25">
      <c r="A2599" t="str">
        <f t="shared" si="82"/>
        <v>60</v>
      </c>
      <c r="B2599" t="str">
        <f>"60.0828"</f>
        <v>60.0828</v>
      </c>
      <c r="C2599" t="s">
        <v>2329</v>
      </c>
    </row>
    <row r="2600" spans="1:3" x14ac:dyDescent="0.25">
      <c r="A2600" t="str">
        <f t="shared" si="82"/>
        <v>60</v>
      </c>
      <c r="B2600" t="str">
        <f>"60.0829"</f>
        <v>60.0829</v>
      </c>
      <c r="C2600" t="s">
        <v>2330</v>
      </c>
    </row>
    <row r="2601" spans="1:3" x14ac:dyDescent="0.25">
      <c r="A2601" t="str">
        <f t="shared" si="82"/>
        <v>60</v>
      </c>
      <c r="B2601" t="str">
        <f>"60.0830"</f>
        <v>60.0830</v>
      </c>
      <c r="C2601" t="s">
        <v>2331</v>
      </c>
    </row>
    <row r="2602" spans="1:3" x14ac:dyDescent="0.25">
      <c r="A2602" t="str">
        <f t="shared" si="82"/>
        <v>60</v>
      </c>
      <c r="B2602" t="str">
        <f>"60.0831"</f>
        <v>60.0831</v>
      </c>
      <c r="C2602" t="s">
        <v>2332</v>
      </c>
    </row>
    <row r="2603" spans="1:3" x14ac:dyDescent="0.25">
      <c r="A2603" t="str">
        <f t="shared" si="82"/>
        <v>60</v>
      </c>
      <c r="B2603" t="str">
        <f>"60.0832"</f>
        <v>60.0832</v>
      </c>
      <c r="C2603" t="s">
        <v>2333</v>
      </c>
    </row>
    <row r="2604" spans="1:3" x14ac:dyDescent="0.25">
      <c r="A2604" t="str">
        <f t="shared" si="82"/>
        <v>60</v>
      </c>
      <c r="B2604" t="str">
        <f>"60.0899"</f>
        <v>60.0899</v>
      </c>
      <c r="C2604" t="s">
        <v>2334</v>
      </c>
    </row>
    <row r="2605" spans="1:3" x14ac:dyDescent="0.25">
      <c r="A2605" t="str">
        <f t="shared" si="82"/>
        <v>60</v>
      </c>
      <c r="B2605" t="str">
        <f>"60.09"</f>
        <v>60.09</v>
      </c>
      <c r="C2605" t="s">
        <v>2335</v>
      </c>
    </row>
    <row r="2606" spans="1:3" x14ac:dyDescent="0.25">
      <c r="A2606" t="str">
        <f t="shared" si="82"/>
        <v>60</v>
      </c>
      <c r="B2606" t="str">
        <f>"60.0901"</f>
        <v>60.0901</v>
      </c>
      <c r="C2606" t="s">
        <v>2336</v>
      </c>
    </row>
    <row r="2607" spans="1:3" x14ac:dyDescent="0.25">
      <c r="A2607" t="str">
        <f t="shared" si="82"/>
        <v>60</v>
      </c>
      <c r="B2607" t="str">
        <f>"60.0902"</f>
        <v>60.0902</v>
      </c>
      <c r="C2607" t="s">
        <v>2337</v>
      </c>
    </row>
    <row r="2608" spans="1:3" x14ac:dyDescent="0.25">
      <c r="A2608" t="str">
        <f t="shared" si="82"/>
        <v>60</v>
      </c>
      <c r="B2608" t="str">
        <f>"60.0903"</f>
        <v>60.0903</v>
      </c>
      <c r="C2608" t="s">
        <v>2338</v>
      </c>
    </row>
    <row r="2609" spans="1:3" x14ac:dyDescent="0.25">
      <c r="A2609" t="str">
        <f t="shared" si="82"/>
        <v>60</v>
      </c>
      <c r="B2609" t="str">
        <f>"60.0904"</f>
        <v>60.0904</v>
      </c>
      <c r="C2609" t="s">
        <v>2339</v>
      </c>
    </row>
    <row r="2610" spans="1:3" x14ac:dyDescent="0.25">
      <c r="A2610" t="str">
        <f t="shared" si="82"/>
        <v>60</v>
      </c>
      <c r="B2610" t="str">
        <f>"60.0905"</f>
        <v>60.0905</v>
      </c>
      <c r="C2610" t="s">
        <v>2340</v>
      </c>
    </row>
    <row r="2611" spans="1:3" x14ac:dyDescent="0.25">
      <c r="A2611" t="str">
        <f t="shared" si="82"/>
        <v>60</v>
      </c>
      <c r="B2611" t="str">
        <f>"60.0906"</f>
        <v>60.0906</v>
      </c>
      <c r="C2611" t="s">
        <v>2341</v>
      </c>
    </row>
    <row r="2612" spans="1:3" x14ac:dyDescent="0.25">
      <c r="A2612" t="str">
        <f t="shared" si="82"/>
        <v>60</v>
      </c>
      <c r="B2612" t="str">
        <f>"60.0907"</f>
        <v>60.0907</v>
      </c>
      <c r="C2612" t="s">
        <v>2342</v>
      </c>
    </row>
    <row r="2613" spans="1:3" x14ac:dyDescent="0.25">
      <c r="A2613" t="str">
        <f t="shared" si="82"/>
        <v>60</v>
      </c>
      <c r="B2613" t="str">
        <f>"60.0908"</f>
        <v>60.0908</v>
      </c>
      <c r="C2613" t="s">
        <v>2343</v>
      </c>
    </row>
    <row r="2614" spans="1:3" x14ac:dyDescent="0.25">
      <c r="A2614" t="str">
        <f t="shared" si="82"/>
        <v>60</v>
      </c>
      <c r="B2614" t="str">
        <f>"60.0909"</f>
        <v>60.0909</v>
      </c>
      <c r="C2614" t="s">
        <v>2344</v>
      </c>
    </row>
    <row r="2615" spans="1:3" x14ac:dyDescent="0.25">
      <c r="A2615" t="str">
        <f t="shared" ref="A2615:A2628" si="83">"60"</f>
        <v>60</v>
      </c>
      <c r="B2615" t="str">
        <f>"60.0910"</f>
        <v>60.0910</v>
      </c>
      <c r="C2615" t="s">
        <v>2345</v>
      </c>
    </row>
    <row r="2616" spans="1:3" x14ac:dyDescent="0.25">
      <c r="A2616" t="str">
        <f t="shared" si="83"/>
        <v>60</v>
      </c>
      <c r="B2616" t="str">
        <f>"60.0911"</f>
        <v>60.0911</v>
      </c>
      <c r="C2616" t="s">
        <v>2346</v>
      </c>
    </row>
    <row r="2617" spans="1:3" x14ac:dyDescent="0.25">
      <c r="A2617" t="str">
        <f t="shared" si="83"/>
        <v>60</v>
      </c>
      <c r="B2617" t="str">
        <f>"60.0912"</f>
        <v>60.0912</v>
      </c>
      <c r="C2617" t="s">
        <v>2347</v>
      </c>
    </row>
    <row r="2618" spans="1:3" x14ac:dyDescent="0.25">
      <c r="A2618" t="str">
        <f t="shared" si="83"/>
        <v>60</v>
      </c>
      <c r="B2618" t="str">
        <f>"60.0913"</f>
        <v>60.0913</v>
      </c>
      <c r="C2618" t="s">
        <v>2348</v>
      </c>
    </row>
    <row r="2619" spans="1:3" x14ac:dyDescent="0.25">
      <c r="A2619" t="str">
        <f t="shared" si="83"/>
        <v>60</v>
      </c>
      <c r="B2619" t="str">
        <f>"60.0914"</f>
        <v>60.0914</v>
      </c>
      <c r="C2619" t="s">
        <v>2349</v>
      </c>
    </row>
    <row r="2620" spans="1:3" x14ac:dyDescent="0.25">
      <c r="A2620" t="str">
        <f t="shared" si="83"/>
        <v>60</v>
      </c>
      <c r="B2620" t="str">
        <f>"60.0915"</f>
        <v>60.0915</v>
      </c>
      <c r="C2620" t="s">
        <v>2350</v>
      </c>
    </row>
    <row r="2621" spans="1:3" x14ac:dyDescent="0.25">
      <c r="A2621" t="str">
        <f t="shared" si="83"/>
        <v>60</v>
      </c>
      <c r="B2621" t="str">
        <f>"60.0916"</f>
        <v>60.0916</v>
      </c>
      <c r="C2621" t="s">
        <v>2351</v>
      </c>
    </row>
    <row r="2622" spans="1:3" x14ac:dyDescent="0.25">
      <c r="A2622" t="str">
        <f t="shared" si="83"/>
        <v>60</v>
      </c>
      <c r="B2622" t="str">
        <f>"60.0917"</f>
        <v>60.0917</v>
      </c>
      <c r="C2622" t="s">
        <v>2352</v>
      </c>
    </row>
    <row r="2623" spans="1:3" x14ac:dyDescent="0.25">
      <c r="A2623" t="str">
        <f t="shared" si="83"/>
        <v>60</v>
      </c>
      <c r="B2623" t="str">
        <f>"60.0918"</f>
        <v>60.0918</v>
      </c>
      <c r="C2623" t="s">
        <v>2353</v>
      </c>
    </row>
    <row r="2624" spans="1:3" x14ac:dyDescent="0.25">
      <c r="A2624" t="str">
        <f t="shared" si="83"/>
        <v>60</v>
      </c>
      <c r="B2624" t="str">
        <f>"60.0919"</f>
        <v>60.0919</v>
      </c>
      <c r="C2624" t="s">
        <v>2354</v>
      </c>
    </row>
    <row r="2625" spans="1:3" x14ac:dyDescent="0.25">
      <c r="A2625" t="str">
        <f t="shared" si="83"/>
        <v>60</v>
      </c>
      <c r="B2625" t="str">
        <f>"60.0920"</f>
        <v>60.0920</v>
      </c>
      <c r="C2625" t="s">
        <v>2355</v>
      </c>
    </row>
    <row r="2626" spans="1:3" x14ac:dyDescent="0.25">
      <c r="A2626" t="str">
        <f t="shared" si="83"/>
        <v>60</v>
      </c>
      <c r="B2626" t="str">
        <f>"60.0999"</f>
        <v>60.0999</v>
      </c>
      <c r="C2626" t="s">
        <v>2356</v>
      </c>
    </row>
    <row r="2627" spans="1:3" x14ac:dyDescent="0.25">
      <c r="A2627" t="str">
        <f t="shared" si="83"/>
        <v>60</v>
      </c>
      <c r="B2627" t="str">
        <f>"60.99"</f>
        <v>60.99</v>
      </c>
      <c r="C2627" t="s">
        <v>2357</v>
      </c>
    </row>
    <row r="2628" spans="1:3" x14ac:dyDescent="0.25">
      <c r="A2628" t="str">
        <f t="shared" si="83"/>
        <v>60</v>
      </c>
      <c r="B2628" t="str">
        <f>"60.9999"</f>
        <v>60.9999</v>
      </c>
      <c r="C2628" t="s">
        <v>2357</v>
      </c>
    </row>
    <row r="2629" spans="1:3" x14ac:dyDescent="0.25">
      <c r="A2629" t="str">
        <f>"61"</f>
        <v>61</v>
      </c>
      <c r="B2629" t="str">
        <f>"61"</f>
        <v>61</v>
      </c>
      <c r="C2629" t="s">
        <v>2358</v>
      </c>
    </row>
    <row r="2630" spans="1:3" x14ac:dyDescent="0.25">
      <c r="A2630" t="str">
        <f t="shared" ref="A2630:A2693" si="84">"61"</f>
        <v>61</v>
      </c>
      <c r="B2630" t="str">
        <f>"61.01"</f>
        <v>61.01</v>
      </c>
      <c r="C2630" t="s">
        <v>2359</v>
      </c>
    </row>
    <row r="2631" spans="1:3" x14ac:dyDescent="0.25">
      <c r="A2631" t="str">
        <f t="shared" si="84"/>
        <v>61</v>
      </c>
      <c r="B2631" t="str">
        <f>"61.0101"</f>
        <v>61.0101</v>
      </c>
      <c r="C2631" t="s">
        <v>2360</v>
      </c>
    </row>
    <row r="2632" spans="1:3" x14ac:dyDescent="0.25">
      <c r="A2632" t="str">
        <f t="shared" si="84"/>
        <v>61</v>
      </c>
      <c r="B2632" t="str">
        <f>"61.0102"</f>
        <v>61.0102</v>
      </c>
      <c r="C2632" t="s">
        <v>2361</v>
      </c>
    </row>
    <row r="2633" spans="1:3" x14ac:dyDescent="0.25">
      <c r="A2633" t="str">
        <f t="shared" si="84"/>
        <v>61</v>
      </c>
      <c r="B2633" t="str">
        <f>"61.0103"</f>
        <v>61.0103</v>
      </c>
      <c r="C2633" t="s">
        <v>2362</v>
      </c>
    </row>
    <row r="2634" spans="1:3" x14ac:dyDescent="0.25">
      <c r="A2634" t="str">
        <f t="shared" si="84"/>
        <v>61</v>
      </c>
      <c r="B2634" t="str">
        <f>"61.0104"</f>
        <v>61.0104</v>
      </c>
      <c r="C2634" t="s">
        <v>2363</v>
      </c>
    </row>
    <row r="2635" spans="1:3" x14ac:dyDescent="0.25">
      <c r="A2635" t="str">
        <f t="shared" si="84"/>
        <v>61</v>
      </c>
      <c r="B2635" t="str">
        <f>"61.0105"</f>
        <v>61.0105</v>
      </c>
      <c r="C2635" t="s">
        <v>2364</v>
      </c>
    </row>
    <row r="2636" spans="1:3" x14ac:dyDescent="0.25">
      <c r="A2636" t="str">
        <f t="shared" si="84"/>
        <v>61</v>
      </c>
      <c r="B2636" t="str">
        <f>"61.0106"</f>
        <v>61.0106</v>
      </c>
      <c r="C2636" t="s">
        <v>2365</v>
      </c>
    </row>
    <row r="2637" spans="1:3" x14ac:dyDescent="0.25">
      <c r="A2637" t="str">
        <f t="shared" si="84"/>
        <v>61</v>
      </c>
      <c r="B2637" t="str">
        <f>"61.0107"</f>
        <v>61.0107</v>
      </c>
      <c r="C2637" t="s">
        <v>2366</v>
      </c>
    </row>
    <row r="2638" spans="1:3" x14ac:dyDescent="0.25">
      <c r="A2638" t="str">
        <f t="shared" si="84"/>
        <v>61</v>
      </c>
      <c r="B2638" t="str">
        <f>"61.0108"</f>
        <v>61.0108</v>
      </c>
      <c r="C2638" t="s">
        <v>2367</v>
      </c>
    </row>
    <row r="2639" spans="1:3" x14ac:dyDescent="0.25">
      <c r="A2639" t="str">
        <f t="shared" si="84"/>
        <v>61</v>
      </c>
      <c r="B2639" t="str">
        <f>"61.0109"</f>
        <v>61.0109</v>
      </c>
      <c r="C2639" t="s">
        <v>2368</v>
      </c>
    </row>
    <row r="2640" spans="1:3" x14ac:dyDescent="0.25">
      <c r="A2640" t="str">
        <f t="shared" si="84"/>
        <v>61</v>
      </c>
      <c r="B2640" t="str">
        <f>"61.0110"</f>
        <v>61.0110</v>
      </c>
      <c r="C2640" t="s">
        <v>2369</v>
      </c>
    </row>
    <row r="2641" spans="1:3" x14ac:dyDescent="0.25">
      <c r="A2641" t="str">
        <f t="shared" si="84"/>
        <v>61</v>
      </c>
      <c r="B2641" t="str">
        <f>"61.0111"</f>
        <v>61.0111</v>
      </c>
      <c r="C2641" t="s">
        <v>2370</v>
      </c>
    </row>
    <row r="2642" spans="1:3" x14ac:dyDescent="0.25">
      <c r="A2642" t="str">
        <f t="shared" si="84"/>
        <v>61</v>
      </c>
      <c r="B2642" t="str">
        <f>"61.0112"</f>
        <v>61.0112</v>
      </c>
      <c r="C2642" t="s">
        <v>2371</v>
      </c>
    </row>
    <row r="2643" spans="1:3" x14ac:dyDescent="0.25">
      <c r="A2643" t="str">
        <f t="shared" si="84"/>
        <v>61</v>
      </c>
      <c r="B2643" t="str">
        <f>"61.0113"</f>
        <v>61.0113</v>
      </c>
      <c r="C2643" t="s">
        <v>2372</v>
      </c>
    </row>
    <row r="2644" spans="1:3" x14ac:dyDescent="0.25">
      <c r="A2644" t="str">
        <f t="shared" si="84"/>
        <v>61</v>
      </c>
      <c r="B2644" t="str">
        <f>"61.0114"</f>
        <v>61.0114</v>
      </c>
      <c r="C2644" t="s">
        <v>2373</v>
      </c>
    </row>
    <row r="2645" spans="1:3" x14ac:dyDescent="0.25">
      <c r="A2645" t="str">
        <f t="shared" si="84"/>
        <v>61</v>
      </c>
      <c r="B2645" t="str">
        <f>"61.0115"</f>
        <v>61.0115</v>
      </c>
      <c r="C2645" t="s">
        <v>2374</v>
      </c>
    </row>
    <row r="2646" spans="1:3" x14ac:dyDescent="0.25">
      <c r="A2646" t="str">
        <f t="shared" si="84"/>
        <v>61</v>
      </c>
      <c r="B2646" t="str">
        <f>"61.0116"</f>
        <v>61.0116</v>
      </c>
      <c r="C2646" t="s">
        <v>2375</v>
      </c>
    </row>
    <row r="2647" spans="1:3" x14ac:dyDescent="0.25">
      <c r="A2647" t="str">
        <f t="shared" si="84"/>
        <v>61</v>
      </c>
      <c r="B2647" t="str">
        <f>"61.0117"</f>
        <v>61.0117</v>
      </c>
      <c r="C2647" t="s">
        <v>2376</v>
      </c>
    </row>
    <row r="2648" spans="1:3" x14ac:dyDescent="0.25">
      <c r="A2648" t="str">
        <f t="shared" si="84"/>
        <v>61</v>
      </c>
      <c r="B2648" t="str">
        <f>"61.0118"</f>
        <v>61.0118</v>
      </c>
      <c r="C2648" t="s">
        <v>2377</v>
      </c>
    </row>
    <row r="2649" spans="1:3" x14ac:dyDescent="0.25">
      <c r="A2649" t="str">
        <f t="shared" si="84"/>
        <v>61</v>
      </c>
      <c r="B2649" t="str">
        <f>"61.0119"</f>
        <v>61.0119</v>
      </c>
      <c r="C2649" t="s">
        <v>2378</v>
      </c>
    </row>
    <row r="2650" spans="1:3" x14ac:dyDescent="0.25">
      <c r="A2650" t="str">
        <f t="shared" si="84"/>
        <v>61</v>
      </c>
      <c r="B2650" t="str">
        <f>"61.0120"</f>
        <v>61.0120</v>
      </c>
      <c r="C2650" t="s">
        <v>2379</v>
      </c>
    </row>
    <row r="2651" spans="1:3" x14ac:dyDescent="0.25">
      <c r="A2651" t="str">
        <f t="shared" si="84"/>
        <v>61</v>
      </c>
      <c r="B2651" t="str">
        <f>"61.0121"</f>
        <v>61.0121</v>
      </c>
      <c r="C2651" t="s">
        <v>2380</v>
      </c>
    </row>
    <row r="2652" spans="1:3" x14ac:dyDescent="0.25">
      <c r="A2652" t="str">
        <f t="shared" si="84"/>
        <v>61</v>
      </c>
      <c r="B2652" t="str">
        <f>"61.0122"</f>
        <v>61.0122</v>
      </c>
      <c r="C2652" t="s">
        <v>2381</v>
      </c>
    </row>
    <row r="2653" spans="1:3" x14ac:dyDescent="0.25">
      <c r="A2653" t="str">
        <f t="shared" si="84"/>
        <v>61</v>
      </c>
      <c r="B2653" t="str">
        <f>"61.0123"</f>
        <v>61.0123</v>
      </c>
      <c r="C2653" t="s">
        <v>2382</v>
      </c>
    </row>
    <row r="2654" spans="1:3" x14ac:dyDescent="0.25">
      <c r="A2654" t="str">
        <f t="shared" si="84"/>
        <v>61</v>
      </c>
      <c r="B2654" t="str">
        <f>"61.0124"</f>
        <v>61.0124</v>
      </c>
      <c r="C2654" t="s">
        <v>2383</v>
      </c>
    </row>
    <row r="2655" spans="1:3" x14ac:dyDescent="0.25">
      <c r="A2655" t="str">
        <f t="shared" si="84"/>
        <v>61</v>
      </c>
      <c r="B2655" t="str">
        <f>"61.0125"</f>
        <v>61.0125</v>
      </c>
      <c r="C2655" t="s">
        <v>2384</v>
      </c>
    </row>
    <row r="2656" spans="1:3" x14ac:dyDescent="0.25">
      <c r="A2656" t="str">
        <f t="shared" si="84"/>
        <v>61</v>
      </c>
      <c r="B2656" t="str">
        <f>"61.0199"</f>
        <v>61.0199</v>
      </c>
      <c r="C2656" t="s">
        <v>2385</v>
      </c>
    </row>
    <row r="2657" spans="1:3" x14ac:dyDescent="0.25">
      <c r="A2657" t="str">
        <f t="shared" si="84"/>
        <v>61</v>
      </c>
      <c r="B2657" t="str">
        <f>"61.02"</f>
        <v>61.02</v>
      </c>
      <c r="C2657" t="s">
        <v>2386</v>
      </c>
    </row>
    <row r="2658" spans="1:3" x14ac:dyDescent="0.25">
      <c r="A2658" t="str">
        <f t="shared" si="84"/>
        <v>61</v>
      </c>
      <c r="B2658" t="str">
        <f>"61.0202"</f>
        <v>61.0202</v>
      </c>
      <c r="C2658" t="s">
        <v>2387</v>
      </c>
    </row>
    <row r="2659" spans="1:3" x14ac:dyDescent="0.25">
      <c r="A2659" t="str">
        <f t="shared" si="84"/>
        <v>61</v>
      </c>
      <c r="B2659" t="str">
        <f>"61.0203"</f>
        <v>61.0203</v>
      </c>
      <c r="C2659" t="s">
        <v>2388</v>
      </c>
    </row>
    <row r="2660" spans="1:3" x14ac:dyDescent="0.25">
      <c r="A2660" t="str">
        <f t="shared" si="84"/>
        <v>61</v>
      </c>
      <c r="B2660" t="str">
        <f>"61.0204"</f>
        <v>61.0204</v>
      </c>
      <c r="C2660" t="s">
        <v>2389</v>
      </c>
    </row>
    <row r="2661" spans="1:3" x14ac:dyDescent="0.25">
      <c r="A2661" t="str">
        <f t="shared" si="84"/>
        <v>61</v>
      </c>
      <c r="B2661" t="str">
        <f>"61.0205"</f>
        <v>61.0205</v>
      </c>
      <c r="C2661" t="s">
        <v>2390</v>
      </c>
    </row>
    <row r="2662" spans="1:3" x14ac:dyDescent="0.25">
      <c r="A2662" t="str">
        <f t="shared" si="84"/>
        <v>61</v>
      </c>
      <c r="B2662" t="str">
        <f>"61.0206"</f>
        <v>61.0206</v>
      </c>
      <c r="C2662" t="s">
        <v>2391</v>
      </c>
    </row>
    <row r="2663" spans="1:3" x14ac:dyDescent="0.25">
      <c r="A2663" t="str">
        <f t="shared" si="84"/>
        <v>61</v>
      </c>
      <c r="B2663" t="str">
        <f>"61.0207"</f>
        <v>61.0207</v>
      </c>
      <c r="C2663" t="s">
        <v>2392</v>
      </c>
    </row>
    <row r="2664" spans="1:3" x14ac:dyDescent="0.25">
      <c r="A2664" t="str">
        <f t="shared" si="84"/>
        <v>61</v>
      </c>
      <c r="B2664" t="str">
        <f>"61.0208"</f>
        <v>61.0208</v>
      </c>
      <c r="C2664" t="s">
        <v>2393</v>
      </c>
    </row>
    <row r="2665" spans="1:3" x14ac:dyDescent="0.25">
      <c r="A2665" t="str">
        <f t="shared" si="84"/>
        <v>61</v>
      </c>
      <c r="B2665" t="str">
        <f>"61.0209"</f>
        <v>61.0209</v>
      </c>
      <c r="C2665" t="s">
        <v>2394</v>
      </c>
    </row>
    <row r="2666" spans="1:3" x14ac:dyDescent="0.25">
      <c r="A2666" t="str">
        <f t="shared" si="84"/>
        <v>61</v>
      </c>
      <c r="B2666" t="str">
        <f>"61.0210"</f>
        <v>61.0210</v>
      </c>
      <c r="C2666" t="s">
        <v>2395</v>
      </c>
    </row>
    <row r="2667" spans="1:3" x14ac:dyDescent="0.25">
      <c r="A2667" t="str">
        <f t="shared" si="84"/>
        <v>61</v>
      </c>
      <c r="B2667" t="str">
        <f>"61.0211"</f>
        <v>61.0211</v>
      </c>
      <c r="C2667" t="s">
        <v>2396</v>
      </c>
    </row>
    <row r="2668" spans="1:3" x14ac:dyDescent="0.25">
      <c r="A2668" t="str">
        <f t="shared" si="84"/>
        <v>61</v>
      </c>
      <c r="B2668" t="str">
        <f>"61.0212"</f>
        <v>61.0212</v>
      </c>
      <c r="C2668" t="s">
        <v>2397</v>
      </c>
    </row>
    <row r="2669" spans="1:3" x14ac:dyDescent="0.25">
      <c r="A2669" t="str">
        <f t="shared" si="84"/>
        <v>61</v>
      </c>
      <c r="B2669" t="str">
        <f>"61.0213"</f>
        <v>61.0213</v>
      </c>
      <c r="C2669" t="s">
        <v>2398</v>
      </c>
    </row>
    <row r="2670" spans="1:3" x14ac:dyDescent="0.25">
      <c r="A2670" t="str">
        <f t="shared" si="84"/>
        <v>61</v>
      </c>
      <c r="B2670" t="str">
        <f>"61.0214"</f>
        <v>61.0214</v>
      </c>
      <c r="C2670" t="s">
        <v>2399</v>
      </c>
    </row>
    <row r="2671" spans="1:3" x14ac:dyDescent="0.25">
      <c r="A2671" t="str">
        <f t="shared" si="84"/>
        <v>61</v>
      </c>
      <c r="B2671" t="str">
        <f>"61.0215"</f>
        <v>61.0215</v>
      </c>
      <c r="C2671" t="s">
        <v>2400</v>
      </c>
    </row>
    <row r="2672" spans="1:3" x14ac:dyDescent="0.25">
      <c r="A2672" t="str">
        <f t="shared" si="84"/>
        <v>61</v>
      </c>
      <c r="B2672" t="str">
        <f>"61.0216"</f>
        <v>61.0216</v>
      </c>
      <c r="C2672" t="s">
        <v>2401</v>
      </c>
    </row>
    <row r="2673" spans="1:3" x14ac:dyDescent="0.25">
      <c r="A2673" t="str">
        <f t="shared" si="84"/>
        <v>61</v>
      </c>
      <c r="B2673" t="str">
        <f>"61.0217"</f>
        <v>61.0217</v>
      </c>
      <c r="C2673" t="s">
        <v>2402</v>
      </c>
    </row>
    <row r="2674" spans="1:3" x14ac:dyDescent="0.25">
      <c r="A2674" t="str">
        <f t="shared" si="84"/>
        <v>61</v>
      </c>
      <c r="B2674" t="str">
        <f>"61.0218"</f>
        <v>61.0218</v>
      </c>
      <c r="C2674" t="s">
        <v>2403</v>
      </c>
    </row>
    <row r="2675" spans="1:3" x14ac:dyDescent="0.25">
      <c r="A2675" t="str">
        <f t="shared" si="84"/>
        <v>61</v>
      </c>
      <c r="B2675" t="str">
        <f>"61.0299"</f>
        <v>61.0299</v>
      </c>
      <c r="C2675" t="s">
        <v>2404</v>
      </c>
    </row>
    <row r="2676" spans="1:3" x14ac:dyDescent="0.25">
      <c r="A2676" t="str">
        <f t="shared" si="84"/>
        <v>61</v>
      </c>
      <c r="B2676" t="str">
        <f>"61.03"</f>
        <v>61.03</v>
      </c>
      <c r="C2676" t="s">
        <v>2405</v>
      </c>
    </row>
    <row r="2677" spans="1:3" x14ac:dyDescent="0.25">
      <c r="A2677" t="str">
        <f t="shared" si="84"/>
        <v>61</v>
      </c>
      <c r="B2677" t="str">
        <f>"61.0301"</f>
        <v>61.0301</v>
      </c>
      <c r="C2677" t="s">
        <v>2406</v>
      </c>
    </row>
    <row r="2678" spans="1:3" x14ac:dyDescent="0.25">
      <c r="A2678" t="str">
        <f t="shared" si="84"/>
        <v>61</v>
      </c>
      <c r="B2678" t="str">
        <f>"61.0399"</f>
        <v>61.0399</v>
      </c>
      <c r="C2678" t="s">
        <v>2407</v>
      </c>
    </row>
    <row r="2679" spans="1:3" x14ac:dyDescent="0.25">
      <c r="A2679" t="str">
        <f t="shared" si="84"/>
        <v>61</v>
      </c>
      <c r="B2679" t="str">
        <f>"61.04"</f>
        <v>61.04</v>
      </c>
      <c r="C2679" t="s">
        <v>2408</v>
      </c>
    </row>
    <row r="2680" spans="1:3" x14ac:dyDescent="0.25">
      <c r="A2680" t="str">
        <f t="shared" si="84"/>
        <v>61</v>
      </c>
      <c r="B2680" t="str">
        <f>"61.0401"</f>
        <v>61.0401</v>
      </c>
      <c r="C2680" t="s">
        <v>2126</v>
      </c>
    </row>
    <row r="2681" spans="1:3" x14ac:dyDescent="0.25">
      <c r="A2681" t="str">
        <f t="shared" si="84"/>
        <v>61</v>
      </c>
      <c r="B2681" t="str">
        <f>"61.0499"</f>
        <v>61.0499</v>
      </c>
      <c r="C2681" t="s">
        <v>2409</v>
      </c>
    </row>
    <row r="2682" spans="1:3" x14ac:dyDescent="0.25">
      <c r="A2682" t="str">
        <f t="shared" si="84"/>
        <v>61</v>
      </c>
      <c r="B2682" t="str">
        <f>"61.05"</f>
        <v>61.05</v>
      </c>
      <c r="C2682" t="s">
        <v>2410</v>
      </c>
    </row>
    <row r="2683" spans="1:3" x14ac:dyDescent="0.25">
      <c r="A2683" t="str">
        <f t="shared" si="84"/>
        <v>61</v>
      </c>
      <c r="B2683" t="str">
        <f>"61.0501"</f>
        <v>61.0501</v>
      </c>
      <c r="C2683" t="s">
        <v>2133</v>
      </c>
    </row>
    <row r="2684" spans="1:3" x14ac:dyDescent="0.25">
      <c r="A2684" t="str">
        <f t="shared" si="84"/>
        <v>61</v>
      </c>
      <c r="B2684" t="str">
        <f>"61.0502"</f>
        <v>61.0502</v>
      </c>
      <c r="C2684" t="s">
        <v>2411</v>
      </c>
    </row>
    <row r="2685" spans="1:3" x14ac:dyDescent="0.25">
      <c r="A2685" t="str">
        <f t="shared" si="84"/>
        <v>61</v>
      </c>
      <c r="B2685" t="str">
        <f>"61.0503"</f>
        <v>61.0503</v>
      </c>
      <c r="C2685" t="s">
        <v>2412</v>
      </c>
    </row>
    <row r="2686" spans="1:3" x14ac:dyDescent="0.25">
      <c r="A2686" t="str">
        <f t="shared" si="84"/>
        <v>61</v>
      </c>
      <c r="B2686" t="str">
        <f>"61.0599"</f>
        <v>61.0599</v>
      </c>
      <c r="C2686" t="s">
        <v>2413</v>
      </c>
    </row>
    <row r="2687" spans="1:3" x14ac:dyDescent="0.25">
      <c r="A2687" t="str">
        <f t="shared" si="84"/>
        <v>61</v>
      </c>
      <c r="B2687" t="str">
        <f>"61.06"</f>
        <v>61.06</v>
      </c>
      <c r="C2687" t="s">
        <v>2414</v>
      </c>
    </row>
    <row r="2688" spans="1:3" x14ac:dyDescent="0.25">
      <c r="A2688" t="str">
        <f t="shared" si="84"/>
        <v>61</v>
      </c>
      <c r="B2688" t="str">
        <f>"61.0601"</f>
        <v>61.0601</v>
      </c>
      <c r="C2688" t="s">
        <v>2135</v>
      </c>
    </row>
    <row r="2689" spans="1:3" x14ac:dyDescent="0.25">
      <c r="A2689" t="str">
        <f t="shared" si="84"/>
        <v>61</v>
      </c>
      <c r="B2689" t="str">
        <f>"61.0602"</f>
        <v>61.0602</v>
      </c>
      <c r="C2689" t="s">
        <v>2415</v>
      </c>
    </row>
    <row r="2690" spans="1:3" x14ac:dyDescent="0.25">
      <c r="A2690" t="str">
        <f t="shared" si="84"/>
        <v>61</v>
      </c>
      <c r="B2690" t="str">
        <f>"61.0603"</f>
        <v>61.0603</v>
      </c>
      <c r="C2690" t="s">
        <v>2416</v>
      </c>
    </row>
    <row r="2691" spans="1:3" x14ac:dyDescent="0.25">
      <c r="A2691" t="str">
        <f t="shared" si="84"/>
        <v>61</v>
      </c>
      <c r="B2691" t="str">
        <f>"61.0699"</f>
        <v>61.0699</v>
      </c>
      <c r="C2691" t="s">
        <v>2417</v>
      </c>
    </row>
    <row r="2692" spans="1:3" x14ac:dyDescent="0.25">
      <c r="A2692" t="str">
        <f t="shared" si="84"/>
        <v>61</v>
      </c>
      <c r="B2692" t="str">
        <f>"61.07"</f>
        <v>61.07</v>
      </c>
      <c r="C2692" t="s">
        <v>2418</v>
      </c>
    </row>
    <row r="2693" spans="1:3" x14ac:dyDescent="0.25">
      <c r="A2693" t="str">
        <f t="shared" si="84"/>
        <v>61</v>
      </c>
      <c r="B2693" t="str">
        <f>"61.0701"</f>
        <v>61.0701</v>
      </c>
      <c r="C2693" t="s">
        <v>2136</v>
      </c>
    </row>
    <row r="2694" spans="1:3" x14ac:dyDescent="0.25">
      <c r="A2694" t="str">
        <f t="shared" ref="A2694:A2757" si="85">"61"</f>
        <v>61</v>
      </c>
      <c r="B2694" t="str">
        <f>"61.0799"</f>
        <v>61.0799</v>
      </c>
      <c r="C2694" t="s">
        <v>2419</v>
      </c>
    </row>
    <row r="2695" spans="1:3" x14ac:dyDescent="0.25">
      <c r="A2695" t="str">
        <f t="shared" si="85"/>
        <v>61</v>
      </c>
      <c r="B2695" t="str">
        <f>"61.08"</f>
        <v>61.08</v>
      </c>
      <c r="C2695" t="s">
        <v>2420</v>
      </c>
    </row>
    <row r="2696" spans="1:3" x14ac:dyDescent="0.25">
      <c r="A2696" t="str">
        <f t="shared" si="85"/>
        <v>61</v>
      </c>
      <c r="B2696" t="str">
        <f>"61.0801"</f>
        <v>61.0801</v>
      </c>
      <c r="C2696" t="s">
        <v>2138</v>
      </c>
    </row>
    <row r="2697" spans="1:3" x14ac:dyDescent="0.25">
      <c r="A2697" t="str">
        <f t="shared" si="85"/>
        <v>61</v>
      </c>
      <c r="B2697" t="str">
        <f>"61.0804"</f>
        <v>61.0804</v>
      </c>
      <c r="C2697" t="s">
        <v>2421</v>
      </c>
    </row>
    <row r="2698" spans="1:3" x14ac:dyDescent="0.25">
      <c r="A2698" t="str">
        <f t="shared" si="85"/>
        <v>61</v>
      </c>
      <c r="B2698" t="str">
        <f>"61.0805"</f>
        <v>61.0805</v>
      </c>
      <c r="C2698" t="s">
        <v>2422</v>
      </c>
    </row>
    <row r="2699" spans="1:3" x14ac:dyDescent="0.25">
      <c r="A2699" t="str">
        <f t="shared" si="85"/>
        <v>61</v>
      </c>
      <c r="B2699" t="str">
        <f>"61.0806"</f>
        <v>61.0806</v>
      </c>
      <c r="C2699" t="s">
        <v>2423</v>
      </c>
    </row>
    <row r="2700" spans="1:3" x14ac:dyDescent="0.25">
      <c r="A2700" t="str">
        <f t="shared" si="85"/>
        <v>61</v>
      </c>
      <c r="B2700" t="str">
        <f>"61.0807"</f>
        <v>61.0807</v>
      </c>
      <c r="C2700" t="s">
        <v>2424</v>
      </c>
    </row>
    <row r="2701" spans="1:3" x14ac:dyDescent="0.25">
      <c r="A2701" t="str">
        <f t="shared" si="85"/>
        <v>61</v>
      </c>
      <c r="B2701" t="str">
        <f>"61.0808"</f>
        <v>61.0808</v>
      </c>
      <c r="C2701" t="s">
        <v>2425</v>
      </c>
    </row>
    <row r="2702" spans="1:3" x14ac:dyDescent="0.25">
      <c r="A2702" t="str">
        <f t="shared" si="85"/>
        <v>61</v>
      </c>
      <c r="B2702" t="str">
        <f>"61.0809"</f>
        <v>61.0809</v>
      </c>
      <c r="C2702" t="s">
        <v>2426</v>
      </c>
    </row>
    <row r="2703" spans="1:3" x14ac:dyDescent="0.25">
      <c r="A2703" t="str">
        <f t="shared" si="85"/>
        <v>61</v>
      </c>
      <c r="B2703" t="str">
        <f>"61.0810"</f>
        <v>61.0810</v>
      </c>
      <c r="C2703" t="s">
        <v>2427</v>
      </c>
    </row>
    <row r="2704" spans="1:3" x14ac:dyDescent="0.25">
      <c r="A2704" t="str">
        <f t="shared" si="85"/>
        <v>61</v>
      </c>
      <c r="B2704" t="str">
        <f>"61.0811"</f>
        <v>61.0811</v>
      </c>
      <c r="C2704" t="s">
        <v>2428</v>
      </c>
    </row>
    <row r="2705" spans="1:3" x14ac:dyDescent="0.25">
      <c r="A2705" t="str">
        <f t="shared" si="85"/>
        <v>61</v>
      </c>
      <c r="B2705" t="str">
        <f>"61.0812"</f>
        <v>61.0812</v>
      </c>
      <c r="C2705" t="s">
        <v>2429</v>
      </c>
    </row>
    <row r="2706" spans="1:3" x14ac:dyDescent="0.25">
      <c r="A2706" t="str">
        <f t="shared" si="85"/>
        <v>61</v>
      </c>
      <c r="B2706" t="str">
        <f>"61.0813"</f>
        <v>61.0813</v>
      </c>
      <c r="C2706" t="s">
        <v>2430</v>
      </c>
    </row>
    <row r="2707" spans="1:3" x14ac:dyDescent="0.25">
      <c r="A2707" t="str">
        <f t="shared" si="85"/>
        <v>61</v>
      </c>
      <c r="B2707" t="str">
        <f>"61.0814"</f>
        <v>61.0814</v>
      </c>
      <c r="C2707" t="s">
        <v>2431</v>
      </c>
    </row>
    <row r="2708" spans="1:3" x14ac:dyDescent="0.25">
      <c r="A2708" t="str">
        <f t="shared" si="85"/>
        <v>61</v>
      </c>
      <c r="B2708" t="str">
        <f>"61.0816"</f>
        <v>61.0816</v>
      </c>
      <c r="C2708" t="s">
        <v>2432</v>
      </c>
    </row>
    <row r="2709" spans="1:3" x14ac:dyDescent="0.25">
      <c r="A2709" t="str">
        <f t="shared" si="85"/>
        <v>61</v>
      </c>
      <c r="B2709" t="str">
        <f>"61.0818"</f>
        <v>61.0818</v>
      </c>
      <c r="C2709" t="s">
        <v>2433</v>
      </c>
    </row>
    <row r="2710" spans="1:3" x14ac:dyDescent="0.25">
      <c r="A2710" t="str">
        <f t="shared" si="85"/>
        <v>61</v>
      </c>
      <c r="B2710" t="str">
        <f>"61.0899"</f>
        <v>61.0899</v>
      </c>
      <c r="C2710" t="s">
        <v>2434</v>
      </c>
    </row>
    <row r="2711" spans="1:3" x14ac:dyDescent="0.25">
      <c r="A2711" t="str">
        <f t="shared" si="85"/>
        <v>61</v>
      </c>
      <c r="B2711" t="str">
        <f>"61.09"</f>
        <v>61.09</v>
      </c>
      <c r="C2711" t="s">
        <v>2435</v>
      </c>
    </row>
    <row r="2712" spans="1:3" x14ac:dyDescent="0.25">
      <c r="A2712" t="str">
        <f t="shared" si="85"/>
        <v>61</v>
      </c>
      <c r="B2712" t="str">
        <f>"61.0901"</f>
        <v>61.0901</v>
      </c>
      <c r="C2712" t="s">
        <v>2128</v>
      </c>
    </row>
    <row r="2713" spans="1:3" x14ac:dyDescent="0.25">
      <c r="A2713" t="str">
        <f t="shared" si="85"/>
        <v>61</v>
      </c>
      <c r="B2713" t="str">
        <f>"61.0902"</f>
        <v>61.0902</v>
      </c>
      <c r="C2713" t="s">
        <v>2436</v>
      </c>
    </row>
    <row r="2714" spans="1:3" x14ac:dyDescent="0.25">
      <c r="A2714" t="str">
        <f t="shared" si="85"/>
        <v>61</v>
      </c>
      <c r="B2714" t="str">
        <f>"61.0903"</f>
        <v>61.0903</v>
      </c>
      <c r="C2714" t="s">
        <v>2437</v>
      </c>
    </row>
    <row r="2715" spans="1:3" x14ac:dyDescent="0.25">
      <c r="A2715" t="str">
        <f t="shared" si="85"/>
        <v>61</v>
      </c>
      <c r="B2715" t="str">
        <f>"61.0904"</f>
        <v>61.0904</v>
      </c>
      <c r="C2715" t="s">
        <v>2190</v>
      </c>
    </row>
    <row r="2716" spans="1:3" x14ac:dyDescent="0.25">
      <c r="A2716" t="str">
        <f t="shared" si="85"/>
        <v>61</v>
      </c>
      <c r="B2716" t="str">
        <f>"61.0999"</f>
        <v>61.0999</v>
      </c>
      <c r="C2716" t="s">
        <v>2438</v>
      </c>
    </row>
    <row r="2717" spans="1:3" x14ac:dyDescent="0.25">
      <c r="A2717" t="str">
        <f t="shared" si="85"/>
        <v>61</v>
      </c>
      <c r="B2717" t="str">
        <f>"61.10"</f>
        <v>61.10</v>
      </c>
      <c r="C2717" t="s">
        <v>2439</v>
      </c>
    </row>
    <row r="2718" spans="1:3" x14ac:dyDescent="0.25">
      <c r="A2718" t="str">
        <f t="shared" si="85"/>
        <v>61</v>
      </c>
      <c r="B2718" t="str">
        <f>"61.1001"</f>
        <v>61.1001</v>
      </c>
      <c r="C2718" t="s">
        <v>2139</v>
      </c>
    </row>
    <row r="2719" spans="1:3" x14ac:dyDescent="0.25">
      <c r="A2719" t="str">
        <f t="shared" si="85"/>
        <v>61</v>
      </c>
      <c r="B2719" t="str">
        <f>"61.1099"</f>
        <v>61.1099</v>
      </c>
      <c r="C2719" t="s">
        <v>2440</v>
      </c>
    </row>
    <row r="2720" spans="1:3" x14ac:dyDescent="0.25">
      <c r="A2720" t="str">
        <f t="shared" si="85"/>
        <v>61</v>
      </c>
      <c r="B2720" t="str">
        <f>"61.11"</f>
        <v>61.11</v>
      </c>
      <c r="C2720" t="s">
        <v>2441</v>
      </c>
    </row>
    <row r="2721" spans="1:3" x14ac:dyDescent="0.25">
      <c r="A2721" t="str">
        <f t="shared" si="85"/>
        <v>61</v>
      </c>
      <c r="B2721" t="str">
        <f>"61.1101"</f>
        <v>61.1101</v>
      </c>
      <c r="C2721" t="s">
        <v>2140</v>
      </c>
    </row>
    <row r="2722" spans="1:3" x14ac:dyDescent="0.25">
      <c r="A2722" t="str">
        <f t="shared" si="85"/>
        <v>61</v>
      </c>
      <c r="B2722" t="str">
        <f>"61.1102"</f>
        <v>61.1102</v>
      </c>
      <c r="C2722" t="s">
        <v>2127</v>
      </c>
    </row>
    <row r="2723" spans="1:3" x14ac:dyDescent="0.25">
      <c r="A2723" t="str">
        <f t="shared" si="85"/>
        <v>61</v>
      </c>
      <c r="B2723" t="str">
        <f>"61.1103"</f>
        <v>61.1103</v>
      </c>
      <c r="C2723" t="s">
        <v>2442</v>
      </c>
    </row>
    <row r="2724" spans="1:3" x14ac:dyDescent="0.25">
      <c r="A2724" t="str">
        <f t="shared" si="85"/>
        <v>61</v>
      </c>
      <c r="B2724" t="str">
        <f>"61.1104"</f>
        <v>61.1104</v>
      </c>
      <c r="C2724" t="s">
        <v>2443</v>
      </c>
    </row>
    <row r="2725" spans="1:3" x14ac:dyDescent="0.25">
      <c r="A2725" t="str">
        <f t="shared" si="85"/>
        <v>61</v>
      </c>
      <c r="B2725" t="str">
        <f>"61.1105"</f>
        <v>61.1105</v>
      </c>
      <c r="C2725" t="s">
        <v>2444</v>
      </c>
    </row>
    <row r="2726" spans="1:3" x14ac:dyDescent="0.25">
      <c r="A2726" t="str">
        <f t="shared" si="85"/>
        <v>61</v>
      </c>
      <c r="B2726" t="str">
        <f>"61.1106"</f>
        <v>61.1106</v>
      </c>
      <c r="C2726" t="s">
        <v>2445</v>
      </c>
    </row>
    <row r="2727" spans="1:3" x14ac:dyDescent="0.25">
      <c r="A2727" t="str">
        <f t="shared" si="85"/>
        <v>61</v>
      </c>
      <c r="B2727" t="str">
        <f>"61.1107"</f>
        <v>61.1107</v>
      </c>
      <c r="C2727" t="s">
        <v>2446</v>
      </c>
    </row>
    <row r="2728" spans="1:3" x14ac:dyDescent="0.25">
      <c r="A2728" t="str">
        <f t="shared" si="85"/>
        <v>61</v>
      </c>
      <c r="B2728" t="str">
        <f>"61.1199"</f>
        <v>61.1199</v>
      </c>
      <c r="C2728" t="s">
        <v>2447</v>
      </c>
    </row>
    <row r="2729" spans="1:3" x14ac:dyDescent="0.25">
      <c r="A2729" t="str">
        <f t="shared" si="85"/>
        <v>61</v>
      </c>
      <c r="B2729" t="str">
        <f>"61.12"</f>
        <v>61.12</v>
      </c>
      <c r="C2729" t="s">
        <v>2448</v>
      </c>
    </row>
    <row r="2730" spans="1:3" x14ac:dyDescent="0.25">
      <c r="A2730" t="str">
        <f t="shared" si="85"/>
        <v>61</v>
      </c>
      <c r="B2730" t="str">
        <f>"61.1201"</f>
        <v>61.1201</v>
      </c>
      <c r="C2730" t="s">
        <v>2141</v>
      </c>
    </row>
    <row r="2731" spans="1:3" x14ac:dyDescent="0.25">
      <c r="A2731" t="str">
        <f t="shared" si="85"/>
        <v>61</v>
      </c>
      <c r="B2731" t="str">
        <f>"61.1299"</f>
        <v>61.1299</v>
      </c>
      <c r="C2731" t="s">
        <v>2449</v>
      </c>
    </row>
    <row r="2732" spans="1:3" x14ac:dyDescent="0.25">
      <c r="A2732" t="str">
        <f t="shared" si="85"/>
        <v>61</v>
      </c>
      <c r="B2732" t="str">
        <f>"61.13"</f>
        <v>61.13</v>
      </c>
      <c r="C2732" t="s">
        <v>2450</v>
      </c>
    </row>
    <row r="2733" spans="1:3" x14ac:dyDescent="0.25">
      <c r="A2733" t="str">
        <f t="shared" si="85"/>
        <v>61</v>
      </c>
      <c r="B2733" t="str">
        <f>"61.1301"</f>
        <v>61.1301</v>
      </c>
      <c r="C2733" t="s">
        <v>2142</v>
      </c>
    </row>
    <row r="2734" spans="1:3" x14ac:dyDescent="0.25">
      <c r="A2734" t="str">
        <f t="shared" si="85"/>
        <v>61</v>
      </c>
      <c r="B2734" t="str">
        <f>"61.1302"</f>
        <v>61.1302</v>
      </c>
      <c r="C2734" t="s">
        <v>2451</v>
      </c>
    </row>
    <row r="2735" spans="1:3" x14ac:dyDescent="0.25">
      <c r="A2735" t="str">
        <f t="shared" si="85"/>
        <v>61</v>
      </c>
      <c r="B2735" t="str">
        <f>"61.1303"</f>
        <v>61.1303</v>
      </c>
      <c r="C2735" t="s">
        <v>2452</v>
      </c>
    </row>
    <row r="2736" spans="1:3" x14ac:dyDescent="0.25">
      <c r="A2736" t="str">
        <f t="shared" si="85"/>
        <v>61</v>
      </c>
      <c r="B2736" t="str">
        <f>"61.1304"</f>
        <v>61.1304</v>
      </c>
      <c r="C2736" t="s">
        <v>2453</v>
      </c>
    </row>
    <row r="2737" spans="1:3" x14ac:dyDescent="0.25">
      <c r="A2737" t="str">
        <f t="shared" si="85"/>
        <v>61</v>
      </c>
      <c r="B2737" t="str">
        <f>"61.1399"</f>
        <v>61.1399</v>
      </c>
      <c r="C2737" t="s">
        <v>2454</v>
      </c>
    </row>
    <row r="2738" spans="1:3" x14ac:dyDescent="0.25">
      <c r="A2738" t="str">
        <f t="shared" si="85"/>
        <v>61</v>
      </c>
      <c r="B2738" t="str">
        <f>"61.14"</f>
        <v>61.14</v>
      </c>
      <c r="C2738" t="s">
        <v>2455</v>
      </c>
    </row>
    <row r="2739" spans="1:3" x14ac:dyDescent="0.25">
      <c r="A2739" t="str">
        <f t="shared" si="85"/>
        <v>61</v>
      </c>
      <c r="B2739" t="str">
        <f>"61.1401"</f>
        <v>61.1401</v>
      </c>
      <c r="C2739" t="s">
        <v>2144</v>
      </c>
    </row>
    <row r="2740" spans="1:3" x14ac:dyDescent="0.25">
      <c r="A2740" t="str">
        <f t="shared" si="85"/>
        <v>61</v>
      </c>
      <c r="B2740" t="str">
        <f>"61.1499"</f>
        <v>61.1499</v>
      </c>
      <c r="C2740" t="s">
        <v>2456</v>
      </c>
    </row>
    <row r="2741" spans="1:3" x14ac:dyDescent="0.25">
      <c r="A2741" t="str">
        <f t="shared" si="85"/>
        <v>61</v>
      </c>
      <c r="B2741" t="str">
        <f>"61.15"</f>
        <v>61.15</v>
      </c>
      <c r="C2741" t="s">
        <v>2457</v>
      </c>
    </row>
    <row r="2742" spans="1:3" x14ac:dyDescent="0.25">
      <c r="A2742" t="str">
        <f t="shared" si="85"/>
        <v>61</v>
      </c>
      <c r="B2742" t="str">
        <f>"61.1501"</f>
        <v>61.1501</v>
      </c>
      <c r="C2742" t="s">
        <v>2145</v>
      </c>
    </row>
    <row r="2743" spans="1:3" x14ac:dyDescent="0.25">
      <c r="A2743" t="str">
        <f t="shared" si="85"/>
        <v>61</v>
      </c>
      <c r="B2743" t="str">
        <f>"61.1502"</f>
        <v>61.1502</v>
      </c>
      <c r="C2743" t="s">
        <v>2458</v>
      </c>
    </row>
    <row r="2744" spans="1:3" x14ac:dyDescent="0.25">
      <c r="A2744" t="str">
        <f t="shared" si="85"/>
        <v>61</v>
      </c>
      <c r="B2744" t="str">
        <f>"61.1503"</f>
        <v>61.1503</v>
      </c>
      <c r="C2744" t="s">
        <v>2459</v>
      </c>
    </row>
    <row r="2745" spans="1:3" x14ac:dyDescent="0.25">
      <c r="A2745" t="str">
        <f t="shared" si="85"/>
        <v>61</v>
      </c>
      <c r="B2745" t="str">
        <f>"61.1504"</f>
        <v>61.1504</v>
      </c>
      <c r="C2745" t="s">
        <v>2460</v>
      </c>
    </row>
    <row r="2746" spans="1:3" x14ac:dyDescent="0.25">
      <c r="A2746" t="str">
        <f t="shared" si="85"/>
        <v>61</v>
      </c>
      <c r="B2746" t="str">
        <f>"61.1505"</f>
        <v>61.1505</v>
      </c>
      <c r="C2746" t="s">
        <v>2461</v>
      </c>
    </row>
    <row r="2747" spans="1:3" x14ac:dyDescent="0.25">
      <c r="A2747" t="str">
        <f t="shared" si="85"/>
        <v>61</v>
      </c>
      <c r="B2747" t="str">
        <f>"61.1599"</f>
        <v>61.1599</v>
      </c>
      <c r="C2747" t="s">
        <v>2462</v>
      </c>
    </row>
    <row r="2748" spans="1:3" x14ac:dyDescent="0.25">
      <c r="A2748" t="str">
        <f t="shared" si="85"/>
        <v>61</v>
      </c>
      <c r="B2748" t="str">
        <f>"61.16"</f>
        <v>61.16</v>
      </c>
      <c r="C2748" t="s">
        <v>2463</v>
      </c>
    </row>
    <row r="2749" spans="1:3" x14ac:dyDescent="0.25">
      <c r="A2749" t="str">
        <f t="shared" si="85"/>
        <v>61</v>
      </c>
      <c r="B2749" t="str">
        <f>"61.1601"</f>
        <v>61.1601</v>
      </c>
      <c r="C2749" t="s">
        <v>2464</v>
      </c>
    </row>
    <row r="2750" spans="1:3" x14ac:dyDescent="0.25">
      <c r="A2750" t="str">
        <f t="shared" si="85"/>
        <v>61</v>
      </c>
      <c r="B2750" t="str">
        <f>"61.1699"</f>
        <v>61.1699</v>
      </c>
      <c r="C2750" t="s">
        <v>2465</v>
      </c>
    </row>
    <row r="2751" spans="1:3" x14ac:dyDescent="0.25">
      <c r="A2751" t="str">
        <f t="shared" si="85"/>
        <v>61</v>
      </c>
      <c r="B2751" t="str">
        <f>"61.17"</f>
        <v>61.17</v>
      </c>
      <c r="C2751" t="s">
        <v>2466</v>
      </c>
    </row>
    <row r="2752" spans="1:3" x14ac:dyDescent="0.25">
      <c r="A2752" t="str">
        <f t="shared" si="85"/>
        <v>61</v>
      </c>
      <c r="B2752" t="str">
        <f>"61.1701"</f>
        <v>61.1701</v>
      </c>
      <c r="C2752" t="s">
        <v>2146</v>
      </c>
    </row>
    <row r="2753" spans="1:3" x14ac:dyDescent="0.25">
      <c r="A2753" t="str">
        <f t="shared" si="85"/>
        <v>61</v>
      </c>
      <c r="B2753" t="str">
        <f>"61.1702"</f>
        <v>61.1702</v>
      </c>
      <c r="C2753" t="s">
        <v>2467</v>
      </c>
    </row>
    <row r="2754" spans="1:3" x14ac:dyDescent="0.25">
      <c r="A2754" t="str">
        <f t="shared" si="85"/>
        <v>61</v>
      </c>
      <c r="B2754" t="str">
        <f>"61.1703"</f>
        <v>61.1703</v>
      </c>
      <c r="C2754" t="s">
        <v>2468</v>
      </c>
    </row>
    <row r="2755" spans="1:3" x14ac:dyDescent="0.25">
      <c r="A2755" t="str">
        <f t="shared" si="85"/>
        <v>61</v>
      </c>
      <c r="B2755" t="str">
        <f>"61.1799"</f>
        <v>61.1799</v>
      </c>
      <c r="C2755" t="s">
        <v>2469</v>
      </c>
    </row>
    <row r="2756" spans="1:3" x14ac:dyDescent="0.25">
      <c r="A2756" t="str">
        <f t="shared" si="85"/>
        <v>61</v>
      </c>
      <c r="B2756" t="str">
        <f>"61.18"</f>
        <v>61.18</v>
      </c>
      <c r="C2756" t="s">
        <v>2470</v>
      </c>
    </row>
    <row r="2757" spans="1:3" x14ac:dyDescent="0.25">
      <c r="A2757" t="str">
        <f t="shared" si="85"/>
        <v>61</v>
      </c>
      <c r="B2757" t="str">
        <f>"61.1801"</f>
        <v>61.1801</v>
      </c>
      <c r="C2757" t="s">
        <v>2471</v>
      </c>
    </row>
    <row r="2758" spans="1:3" x14ac:dyDescent="0.25">
      <c r="A2758" t="str">
        <f t="shared" ref="A2758:A2821" si="86">"61"</f>
        <v>61</v>
      </c>
      <c r="B2758" t="str">
        <f>"61.1802"</f>
        <v>61.1802</v>
      </c>
      <c r="C2758" t="s">
        <v>2472</v>
      </c>
    </row>
    <row r="2759" spans="1:3" x14ac:dyDescent="0.25">
      <c r="A2759" t="str">
        <f t="shared" si="86"/>
        <v>61</v>
      </c>
      <c r="B2759" t="str">
        <f>"61.1803"</f>
        <v>61.1803</v>
      </c>
      <c r="C2759" t="s">
        <v>2473</v>
      </c>
    </row>
    <row r="2760" spans="1:3" x14ac:dyDescent="0.25">
      <c r="A2760" t="str">
        <f t="shared" si="86"/>
        <v>61</v>
      </c>
      <c r="B2760" t="str">
        <f>"61.1804"</f>
        <v>61.1804</v>
      </c>
      <c r="C2760" t="s">
        <v>2474</v>
      </c>
    </row>
    <row r="2761" spans="1:3" x14ac:dyDescent="0.25">
      <c r="A2761" t="str">
        <f t="shared" si="86"/>
        <v>61</v>
      </c>
      <c r="B2761" t="str">
        <f>"61.1805"</f>
        <v>61.1805</v>
      </c>
      <c r="C2761" t="s">
        <v>2475</v>
      </c>
    </row>
    <row r="2762" spans="1:3" x14ac:dyDescent="0.25">
      <c r="A2762" t="str">
        <f t="shared" si="86"/>
        <v>61</v>
      </c>
      <c r="B2762" t="str">
        <f>"61.1806"</f>
        <v>61.1806</v>
      </c>
      <c r="C2762" t="s">
        <v>2476</v>
      </c>
    </row>
    <row r="2763" spans="1:3" x14ac:dyDescent="0.25">
      <c r="A2763" t="str">
        <f t="shared" si="86"/>
        <v>61</v>
      </c>
      <c r="B2763" t="str">
        <f>"61.1807"</f>
        <v>61.1807</v>
      </c>
      <c r="C2763" t="s">
        <v>2477</v>
      </c>
    </row>
    <row r="2764" spans="1:3" x14ac:dyDescent="0.25">
      <c r="A2764" t="str">
        <f t="shared" si="86"/>
        <v>61</v>
      </c>
      <c r="B2764" t="str">
        <f>"61.1808"</f>
        <v>61.1808</v>
      </c>
      <c r="C2764" t="s">
        <v>2478</v>
      </c>
    </row>
    <row r="2765" spans="1:3" x14ac:dyDescent="0.25">
      <c r="A2765" t="str">
        <f t="shared" si="86"/>
        <v>61</v>
      </c>
      <c r="B2765" t="str">
        <f>"61.1809"</f>
        <v>61.1809</v>
      </c>
      <c r="C2765" t="s">
        <v>2479</v>
      </c>
    </row>
    <row r="2766" spans="1:3" x14ac:dyDescent="0.25">
      <c r="A2766" t="str">
        <f t="shared" si="86"/>
        <v>61</v>
      </c>
      <c r="B2766" t="str">
        <f>"61.1810"</f>
        <v>61.1810</v>
      </c>
      <c r="C2766" t="s">
        <v>2480</v>
      </c>
    </row>
    <row r="2767" spans="1:3" x14ac:dyDescent="0.25">
      <c r="A2767" t="str">
        <f t="shared" si="86"/>
        <v>61</v>
      </c>
      <c r="B2767" t="str">
        <f>"61.1811"</f>
        <v>61.1811</v>
      </c>
      <c r="C2767" t="s">
        <v>2481</v>
      </c>
    </row>
    <row r="2768" spans="1:3" x14ac:dyDescent="0.25">
      <c r="A2768" t="str">
        <f t="shared" si="86"/>
        <v>61</v>
      </c>
      <c r="B2768" t="str">
        <f>"61.1812"</f>
        <v>61.1812</v>
      </c>
      <c r="C2768" t="s">
        <v>2482</v>
      </c>
    </row>
    <row r="2769" spans="1:3" x14ac:dyDescent="0.25">
      <c r="A2769" t="str">
        <f t="shared" si="86"/>
        <v>61</v>
      </c>
      <c r="B2769" t="str">
        <f>"61.1813"</f>
        <v>61.1813</v>
      </c>
      <c r="C2769" t="s">
        <v>2483</v>
      </c>
    </row>
    <row r="2770" spans="1:3" x14ac:dyDescent="0.25">
      <c r="A2770" t="str">
        <f t="shared" si="86"/>
        <v>61</v>
      </c>
      <c r="B2770" t="str">
        <f>"61.1814"</f>
        <v>61.1814</v>
      </c>
      <c r="C2770" t="s">
        <v>2484</v>
      </c>
    </row>
    <row r="2771" spans="1:3" x14ac:dyDescent="0.25">
      <c r="A2771" t="str">
        <f t="shared" si="86"/>
        <v>61</v>
      </c>
      <c r="B2771" t="str">
        <f>"61.1815"</f>
        <v>61.1815</v>
      </c>
      <c r="C2771" t="s">
        <v>2485</v>
      </c>
    </row>
    <row r="2772" spans="1:3" x14ac:dyDescent="0.25">
      <c r="A2772" t="str">
        <f t="shared" si="86"/>
        <v>61</v>
      </c>
      <c r="B2772" t="str">
        <f>"61.1899"</f>
        <v>61.1899</v>
      </c>
      <c r="C2772" t="s">
        <v>2486</v>
      </c>
    </row>
    <row r="2773" spans="1:3" x14ac:dyDescent="0.25">
      <c r="A2773" t="str">
        <f t="shared" si="86"/>
        <v>61</v>
      </c>
      <c r="B2773" t="str">
        <f>"61.19"</f>
        <v>61.19</v>
      </c>
      <c r="C2773" t="s">
        <v>2487</v>
      </c>
    </row>
    <row r="2774" spans="1:3" x14ac:dyDescent="0.25">
      <c r="A2774" t="str">
        <f t="shared" si="86"/>
        <v>61</v>
      </c>
      <c r="B2774" t="str">
        <f>"61.1901"</f>
        <v>61.1901</v>
      </c>
      <c r="C2774" t="s">
        <v>2148</v>
      </c>
    </row>
    <row r="2775" spans="1:3" x14ac:dyDescent="0.25">
      <c r="A2775" t="str">
        <f t="shared" si="86"/>
        <v>61</v>
      </c>
      <c r="B2775" t="str">
        <f>"61.1902"</f>
        <v>61.1902</v>
      </c>
      <c r="C2775" t="s">
        <v>2488</v>
      </c>
    </row>
    <row r="2776" spans="1:3" x14ac:dyDescent="0.25">
      <c r="A2776" t="str">
        <f t="shared" si="86"/>
        <v>61</v>
      </c>
      <c r="B2776" t="str">
        <f>"61.1903"</f>
        <v>61.1903</v>
      </c>
      <c r="C2776" t="s">
        <v>2489</v>
      </c>
    </row>
    <row r="2777" spans="1:3" x14ac:dyDescent="0.25">
      <c r="A2777" t="str">
        <f t="shared" si="86"/>
        <v>61</v>
      </c>
      <c r="B2777" t="str">
        <f>"61.1904"</f>
        <v>61.1904</v>
      </c>
      <c r="C2777" t="s">
        <v>2490</v>
      </c>
    </row>
    <row r="2778" spans="1:3" x14ac:dyDescent="0.25">
      <c r="A2778" t="str">
        <f t="shared" si="86"/>
        <v>61</v>
      </c>
      <c r="B2778" t="str">
        <f>"61.1905"</f>
        <v>61.1905</v>
      </c>
      <c r="C2778" t="s">
        <v>2491</v>
      </c>
    </row>
    <row r="2779" spans="1:3" x14ac:dyDescent="0.25">
      <c r="A2779" t="str">
        <f t="shared" si="86"/>
        <v>61</v>
      </c>
      <c r="B2779" t="str">
        <f>"61.1906"</f>
        <v>61.1906</v>
      </c>
      <c r="C2779" t="s">
        <v>2492</v>
      </c>
    </row>
    <row r="2780" spans="1:3" x14ac:dyDescent="0.25">
      <c r="A2780" t="str">
        <f t="shared" si="86"/>
        <v>61</v>
      </c>
      <c r="B2780" t="str">
        <f>"61.1907"</f>
        <v>61.1907</v>
      </c>
      <c r="C2780" t="s">
        <v>2493</v>
      </c>
    </row>
    <row r="2781" spans="1:3" x14ac:dyDescent="0.25">
      <c r="A2781" t="str">
        <f t="shared" si="86"/>
        <v>61</v>
      </c>
      <c r="B2781" t="str">
        <f>"61.1908"</f>
        <v>61.1908</v>
      </c>
      <c r="C2781" t="s">
        <v>2494</v>
      </c>
    </row>
    <row r="2782" spans="1:3" x14ac:dyDescent="0.25">
      <c r="A2782" t="str">
        <f t="shared" si="86"/>
        <v>61</v>
      </c>
      <c r="B2782" t="str">
        <f>"61.1909"</f>
        <v>61.1909</v>
      </c>
      <c r="C2782" t="s">
        <v>2495</v>
      </c>
    </row>
    <row r="2783" spans="1:3" x14ac:dyDescent="0.25">
      <c r="A2783" t="str">
        <f t="shared" si="86"/>
        <v>61</v>
      </c>
      <c r="B2783" t="str">
        <f>"61.1910"</f>
        <v>61.1910</v>
      </c>
      <c r="C2783" t="s">
        <v>2496</v>
      </c>
    </row>
    <row r="2784" spans="1:3" x14ac:dyDescent="0.25">
      <c r="A2784" t="str">
        <f t="shared" si="86"/>
        <v>61</v>
      </c>
      <c r="B2784" t="str">
        <f>"61.1911"</f>
        <v>61.1911</v>
      </c>
      <c r="C2784" t="s">
        <v>2497</v>
      </c>
    </row>
    <row r="2785" spans="1:3" x14ac:dyDescent="0.25">
      <c r="A2785" t="str">
        <f t="shared" si="86"/>
        <v>61</v>
      </c>
      <c r="B2785" t="str">
        <f>"61.1912"</f>
        <v>61.1912</v>
      </c>
      <c r="C2785" t="s">
        <v>2498</v>
      </c>
    </row>
    <row r="2786" spans="1:3" x14ac:dyDescent="0.25">
      <c r="A2786" t="str">
        <f t="shared" si="86"/>
        <v>61</v>
      </c>
      <c r="B2786" t="str">
        <f>"61.1913"</f>
        <v>61.1913</v>
      </c>
      <c r="C2786" t="s">
        <v>2499</v>
      </c>
    </row>
    <row r="2787" spans="1:3" x14ac:dyDescent="0.25">
      <c r="A2787" t="str">
        <f t="shared" si="86"/>
        <v>61</v>
      </c>
      <c r="B2787" t="str">
        <f>"61.1914"</f>
        <v>61.1914</v>
      </c>
      <c r="C2787" t="s">
        <v>2500</v>
      </c>
    </row>
    <row r="2788" spans="1:3" x14ac:dyDescent="0.25">
      <c r="A2788" t="str">
        <f t="shared" si="86"/>
        <v>61</v>
      </c>
      <c r="B2788" t="str">
        <f>"61.1915"</f>
        <v>61.1915</v>
      </c>
      <c r="C2788" t="s">
        <v>2501</v>
      </c>
    </row>
    <row r="2789" spans="1:3" x14ac:dyDescent="0.25">
      <c r="A2789" t="str">
        <f t="shared" si="86"/>
        <v>61</v>
      </c>
      <c r="B2789" t="str">
        <f>"61.1917"</f>
        <v>61.1917</v>
      </c>
      <c r="C2789" t="s">
        <v>2502</v>
      </c>
    </row>
    <row r="2790" spans="1:3" x14ac:dyDescent="0.25">
      <c r="A2790" t="str">
        <f t="shared" si="86"/>
        <v>61</v>
      </c>
      <c r="B2790" t="str">
        <f>"61.1999"</f>
        <v>61.1999</v>
      </c>
      <c r="C2790" t="s">
        <v>2503</v>
      </c>
    </row>
    <row r="2791" spans="1:3" x14ac:dyDescent="0.25">
      <c r="A2791" t="str">
        <f t="shared" si="86"/>
        <v>61</v>
      </c>
      <c r="B2791" t="str">
        <f>"61.20"</f>
        <v>61.20</v>
      </c>
      <c r="C2791" t="s">
        <v>2504</v>
      </c>
    </row>
    <row r="2792" spans="1:3" x14ac:dyDescent="0.25">
      <c r="A2792" t="str">
        <f t="shared" si="86"/>
        <v>61</v>
      </c>
      <c r="B2792" t="str">
        <f>"61.2001"</f>
        <v>61.2001</v>
      </c>
      <c r="C2792" t="s">
        <v>2149</v>
      </c>
    </row>
    <row r="2793" spans="1:3" x14ac:dyDescent="0.25">
      <c r="A2793" t="str">
        <f t="shared" si="86"/>
        <v>61</v>
      </c>
      <c r="B2793" t="str">
        <f>"61.2002"</f>
        <v>61.2002</v>
      </c>
      <c r="C2793" t="s">
        <v>2505</v>
      </c>
    </row>
    <row r="2794" spans="1:3" x14ac:dyDescent="0.25">
      <c r="A2794" t="str">
        <f t="shared" si="86"/>
        <v>61</v>
      </c>
      <c r="B2794" t="str">
        <f>"61.2003"</f>
        <v>61.2003</v>
      </c>
      <c r="C2794" t="s">
        <v>2506</v>
      </c>
    </row>
    <row r="2795" spans="1:3" x14ac:dyDescent="0.25">
      <c r="A2795" t="str">
        <f t="shared" si="86"/>
        <v>61</v>
      </c>
      <c r="B2795" t="str">
        <f>"61.2099"</f>
        <v>61.2099</v>
      </c>
      <c r="C2795" t="s">
        <v>2507</v>
      </c>
    </row>
    <row r="2796" spans="1:3" x14ac:dyDescent="0.25">
      <c r="A2796" t="str">
        <f t="shared" si="86"/>
        <v>61</v>
      </c>
      <c r="B2796" t="str">
        <f>"61.21"</f>
        <v>61.21</v>
      </c>
      <c r="C2796" t="s">
        <v>2508</v>
      </c>
    </row>
    <row r="2797" spans="1:3" x14ac:dyDescent="0.25">
      <c r="A2797" t="str">
        <f t="shared" si="86"/>
        <v>61</v>
      </c>
      <c r="B2797" t="str">
        <f>"61.2101"</f>
        <v>61.2101</v>
      </c>
      <c r="C2797" t="s">
        <v>2150</v>
      </c>
    </row>
    <row r="2798" spans="1:3" x14ac:dyDescent="0.25">
      <c r="A2798" t="str">
        <f t="shared" si="86"/>
        <v>61</v>
      </c>
      <c r="B2798" t="str">
        <f>"61.2102"</f>
        <v>61.2102</v>
      </c>
      <c r="C2798" t="s">
        <v>2509</v>
      </c>
    </row>
    <row r="2799" spans="1:3" x14ac:dyDescent="0.25">
      <c r="A2799" t="str">
        <f t="shared" si="86"/>
        <v>61</v>
      </c>
      <c r="B2799" t="str">
        <f>"61.2103"</f>
        <v>61.2103</v>
      </c>
      <c r="C2799" t="s">
        <v>2510</v>
      </c>
    </row>
    <row r="2800" spans="1:3" x14ac:dyDescent="0.25">
      <c r="A2800" t="str">
        <f t="shared" si="86"/>
        <v>61</v>
      </c>
      <c r="B2800" t="str">
        <f>"61.2199"</f>
        <v>61.2199</v>
      </c>
      <c r="C2800" t="s">
        <v>2511</v>
      </c>
    </row>
    <row r="2801" spans="1:3" x14ac:dyDescent="0.25">
      <c r="A2801" t="str">
        <f t="shared" si="86"/>
        <v>61</v>
      </c>
      <c r="B2801" t="str">
        <f>"61.22"</f>
        <v>61.22</v>
      </c>
      <c r="C2801" t="s">
        <v>2512</v>
      </c>
    </row>
    <row r="2802" spans="1:3" x14ac:dyDescent="0.25">
      <c r="A2802" t="str">
        <f t="shared" si="86"/>
        <v>61</v>
      </c>
      <c r="B2802" t="str">
        <f>"61.2201"</f>
        <v>61.2201</v>
      </c>
      <c r="C2802" t="s">
        <v>2513</v>
      </c>
    </row>
    <row r="2803" spans="1:3" x14ac:dyDescent="0.25">
      <c r="A2803" t="str">
        <f t="shared" si="86"/>
        <v>61</v>
      </c>
      <c r="B2803" t="str">
        <f>"61.2299"</f>
        <v>61.2299</v>
      </c>
      <c r="C2803" t="s">
        <v>2514</v>
      </c>
    </row>
    <row r="2804" spans="1:3" x14ac:dyDescent="0.25">
      <c r="A2804" t="str">
        <f t="shared" si="86"/>
        <v>61</v>
      </c>
      <c r="B2804" t="str">
        <f>"61.23"</f>
        <v>61.23</v>
      </c>
      <c r="C2804" t="s">
        <v>2515</v>
      </c>
    </row>
    <row r="2805" spans="1:3" x14ac:dyDescent="0.25">
      <c r="A2805" t="str">
        <f t="shared" si="86"/>
        <v>61</v>
      </c>
      <c r="B2805" t="str">
        <f>"61.2301"</f>
        <v>61.2301</v>
      </c>
      <c r="C2805" t="s">
        <v>2152</v>
      </c>
    </row>
    <row r="2806" spans="1:3" x14ac:dyDescent="0.25">
      <c r="A2806" t="str">
        <f t="shared" si="86"/>
        <v>61</v>
      </c>
      <c r="B2806" t="str">
        <f>"61.2302"</f>
        <v>61.2302</v>
      </c>
      <c r="C2806" t="s">
        <v>2124</v>
      </c>
    </row>
    <row r="2807" spans="1:3" x14ac:dyDescent="0.25">
      <c r="A2807" t="str">
        <f t="shared" si="86"/>
        <v>61</v>
      </c>
      <c r="B2807" t="str">
        <f>"61.2303"</f>
        <v>61.2303</v>
      </c>
      <c r="C2807" t="s">
        <v>2143</v>
      </c>
    </row>
    <row r="2808" spans="1:3" x14ac:dyDescent="0.25">
      <c r="A2808" t="str">
        <f t="shared" si="86"/>
        <v>61</v>
      </c>
      <c r="B2808" t="str">
        <f>"61.2399"</f>
        <v>61.2399</v>
      </c>
      <c r="C2808" t="s">
        <v>2516</v>
      </c>
    </row>
    <row r="2809" spans="1:3" x14ac:dyDescent="0.25">
      <c r="A2809" t="str">
        <f t="shared" si="86"/>
        <v>61</v>
      </c>
      <c r="B2809" t="str">
        <f>"61.24"</f>
        <v>61.24</v>
      </c>
      <c r="C2809" t="s">
        <v>2517</v>
      </c>
    </row>
    <row r="2810" spans="1:3" x14ac:dyDescent="0.25">
      <c r="A2810" t="str">
        <f t="shared" si="86"/>
        <v>61</v>
      </c>
      <c r="B2810" t="str">
        <f>"61.2401"</f>
        <v>61.2401</v>
      </c>
      <c r="C2810" t="s">
        <v>2151</v>
      </c>
    </row>
    <row r="2811" spans="1:3" x14ac:dyDescent="0.25">
      <c r="A2811" t="str">
        <f t="shared" si="86"/>
        <v>61</v>
      </c>
      <c r="B2811" t="str">
        <f>"61.2402"</f>
        <v>61.2402</v>
      </c>
      <c r="C2811" t="s">
        <v>2518</v>
      </c>
    </row>
    <row r="2812" spans="1:3" x14ac:dyDescent="0.25">
      <c r="A2812" t="str">
        <f t="shared" si="86"/>
        <v>61</v>
      </c>
      <c r="B2812" t="str">
        <f>"61.2403"</f>
        <v>61.2403</v>
      </c>
      <c r="C2812" t="s">
        <v>2519</v>
      </c>
    </row>
    <row r="2813" spans="1:3" x14ac:dyDescent="0.25">
      <c r="A2813" t="str">
        <f t="shared" si="86"/>
        <v>61</v>
      </c>
      <c r="B2813" t="str">
        <f>"61.2404"</f>
        <v>61.2404</v>
      </c>
      <c r="C2813" t="s">
        <v>2520</v>
      </c>
    </row>
    <row r="2814" spans="1:3" x14ac:dyDescent="0.25">
      <c r="A2814" t="str">
        <f t="shared" si="86"/>
        <v>61</v>
      </c>
      <c r="B2814" t="str">
        <f>"61.2405"</f>
        <v>61.2405</v>
      </c>
      <c r="C2814" t="s">
        <v>2521</v>
      </c>
    </row>
    <row r="2815" spans="1:3" x14ac:dyDescent="0.25">
      <c r="A2815" t="str">
        <f t="shared" si="86"/>
        <v>61</v>
      </c>
      <c r="B2815" t="str">
        <f>"61.2406"</f>
        <v>61.2406</v>
      </c>
      <c r="C2815" t="s">
        <v>2522</v>
      </c>
    </row>
    <row r="2816" spans="1:3" x14ac:dyDescent="0.25">
      <c r="A2816" t="str">
        <f t="shared" si="86"/>
        <v>61</v>
      </c>
      <c r="B2816" t="str">
        <f>"61.2499"</f>
        <v>61.2499</v>
      </c>
      <c r="C2816" t="s">
        <v>2523</v>
      </c>
    </row>
    <row r="2817" spans="1:3" x14ac:dyDescent="0.25">
      <c r="A2817" t="str">
        <f t="shared" si="86"/>
        <v>61</v>
      </c>
      <c r="B2817" t="str">
        <f>"61.25"</f>
        <v>61.25</v>
      </c>
      <c r="C2817" t="s">
        <v>2524</v>
      </c>
    </row>
    <row r="2818" spans="1:3" x14ac:dyDescent="0.25">
      <c r="A2818" t="str">
        <f t="shared" si="86"/>
        <v>61</v>
      </c>
      <c r="B2818" t="str">
        <f>"61.2501"</f>
        <v>61.2501</v>
      </c>
      <c r="C2818" t="s">
        <v>2153</v>
      </c>
    </row>
    <row r="2819" spans="1:3" x14ac:dyDescent="0.25">
      <c r="A2819" t="str">
        <f t="shared" si="86"/>
        <v>61</v>
      </c>
      <c r="B2819" t="str">
        <f>"61.2599"</f>
        <v>61.2599</v>
      </c>
      <c r="C2819" t="s">
        <v>2525</v>
      </c>
    </row>
    <row r="2820" spans="1:3" x14ac:dyDescent="0.25">
      <c r="A2820" t="str">
        <f t="shared" si="86"/>
        <v>61</v>
      </c>
      <c r="B2820" t="str">
        <f>"61.26"</f>
        <v>61.26</v>
      </c>
      <c r="C2820" t="s">
        <v>2526</v>
      </c>
    </row>
    <row r="2821" spans="1:3" x14ac:dyDescent="0.25">
      <c r="A2821" t="str">
        <f t="shared" si="86"/>
        <v>61</v>
      </c>
      <c r="B2821" t="str">
        <f>"61.2601"</f>
        <v>61.2601</v>
      </c>
      <c r="C2821" t="s">
        <v>2134</v>
      </c>
    </row>
    <row r="2822" spans="1:3" x14ac:dyDescent="0.25">
      <c r="A2822" t="str">
        <f t="shared" ref="A2822:A2849" si="87">"61"</f>
        <v>61</v>
      </c>
      <c r="B2822" t="str">
        <f>"61.2602"</f>
        <v>61.2602</v>
      </c>
      <c r="C2822" t="s">
        <v>2527</v>
      </c>
    </row>
    <row r="2823" spans="1:3" x14ac:dyDescent="0.25">
      <c r="A2823" t="str">
        <f t="shared" si="87"/>
        <v>61</v>
      </c>
      <c r="B2823" t="str">
        <f>"61.2603"</f>
        <v>61.2603</v>
      </c>
      <c r="C2823" t="s">
        <v>2528</v>
      </c>
    </row>
    <row r="2824" spans="1:3" x14ac:dyDescent="0.25">
      <c r="A2824" t="str">
        <f t="shared" si="87"/>
        <v>61</v>
      </c>
      <c r="B2824" t="str">
        <f>"61.2604"</f>
        <v>61.2604</v>
      </c>
      <c r="C2824" t="s">
        <v>2174</v>
      </c>
    </row>
    <row r="2825" spans="1:3" x14ac:dyDescent="0.25">
      <c r="A2825" t="str">
        <f t="shared" si="87"/>
        <v>61</v>
      </c>
      <c r="B2825" t="str">
        <f>"61.2605"</f>
        <v>61.2605</v>
      </c>
      <c r="C2825" t="s">
        <v>2192</v>
      </c>
    </row>
    <row r="2826" spans="1:3" x14ac:dyDescent="0.25">
      <c r="A2826" t="str">
        <f t="shared" si="87"/>
        <v>61</v>
      </c>
      <c r="B2826" t="str">
        <f>"61.2606"</f>
        <v>61.2606</v>
      </c>
      <c r="C2826" t="s">
        <v>2529</v>
      </c>
    </row>
    <row r="2827" spans="1:3" x14ac:dyDescent="0.25">
      <c r="A2827" t="str">
        <f t="shared" si="87"/>
        <v>61</v>
      </c>
      <c r="B2827" t="str">
        <f>"61.2607"</f>
        <v>61.2607</v>
      </c>
      <c r="C2827" t="s">
        <v>2530</v>
      </c>
    </row>
    <row r="2828" spans="1:3" x14ac:dyDescent="0.25">
      <c r="A2828" t="str">
        <f t="shared" si="87"/>
        <v>61</v>
      </c>
      <c r="B2828" t="str">
        <f>"61.2608"</f>
        <v>61.2608</v>
      </c>
      <c r="C2828" t="s">
        <v>2531</v>
      </c>
    </row>
    <row r="2829" spans="1:3" x14ac:dyDescent="0.25">
      <c r="A2829" t="str">
        <f t="shared" si="87"/>
        <v>61</v>
      </c>
      <c r="B2829" t="str">
        <f>"61.2609"</f>
        <v>61.2609</v>
      </c>
      <c r="C2829" t="s">
        <v>2532</v>
      </c>
    </row>
    <row r="2830" spans="1:3" x14ac:dyDescent="0.25">
      <c r="A2830" t="str">
        <f t="shared" si="87"/>
        <v>61</v>
      </c>
      <c r="B2830" t="str">
        <f>"61.2610"</f>
        <v>61.2610</v>
      </c>
      <c r="C2830" t="s">
        <v>2154</v>
      </c>
    </row>
    <row r="2831" spans="1:3" x14ac:dyDescent="0.25">
      <c r="A2831" t="str">
        <f t="shared" si="87"/>
        <v>61</v>
      </c>
      <c r="B2831" t="str">
        <f>"61.2611"</f>
        <v>61.2611</v>
      </c>
      <c r="C2831" t="s">
        <v>2239</v>
      </c>
    </row>
    <row r="2832" spans="1:3" x14ac:dyDescent="0.25">
      <c r="A2832" t="str">
        <f t="shared" si="87"/>
        <v>61</v>
      </c>
      <c r="B2832" t="str">
        <f>"61.2612"</f>
        <v>61.2612</v>
      </c>
      <c r="C2832" t="s">
        <v>2533</v>
      </c>
    </row>
    <row r="2833" spans="1:3" x14ac:dyDescent="0.25">
      <c r="A2833" t="str">
        <f t="shared" si="87"/>
        <v>61</v>
      </c>
      <c r="B2833" t="str">
        <f>"61.2699"</f>
        <v>61.2699</v>
      </c>
      <c r="C2833" t="s">
        <v>2534</v>
      </c>
    </row>
    <row r="2834" spans="1:3" x14ac:dyDescent="0.25">
      <c r="A2834" t="str">
        <f t="shared" si="87"/>
        <v>61</v>
      </c>
      <c r="B2834" t="str">
        <f>"61.27"</f>
        <v>61.27</v>
      </c>
      <c r="C2834" t="s">
        <v>2535</v>
      </c>
    </row>
    <row r="2835" spans="1:3" x14ac:dyDescent="0.25">
      <c r="A2835" t="str">
        <f t="shared" si="87"/>
        <v>61</v>
      </c>
      <c r="B2835" t="str">
        <f>"61.2701"</f>
        <v>61.2701</v>
      </c>
      <c r="C2835" t="s">
        <v>2137</v>
      </c>
    </row>
    <row r="2836" spans="1:3" x14ac:dyDescent="0.25">
      <c r="A2836" t="str">
        <f t="shared" si="87"/>
        <v>61</v>
      </c>
      <c r="B2836" t="str">
        <f>"61.2702"</f>
        <v>61.2702</v>
      </c>
      <c r="C2836" t="s">
        <v>2132</v>
      </c>
    </row>
    <row r="2837" spans="1:3" x14ac:dyDescent="0.25">
      <c r="A2837" t="str">
        <f t="shared" si="87"/>
        <v>61</v>
      </c>
      <c r="B2837" t="str">
        <f>"61.2703"</f>
        <v>61.2703</v>
      </c>
      <c r="C2837" t="s">
        <v>2536</v>
      </c>
    </row>
    <row r="2838" spans="1:3" x14ac:dyDescent="0.25">
      <c r="A2838" t="str">
        <f t="shared" si="87"/>
        <v>61</v>
      </c>
      <c r="B2838" t="str">
        <f>"61.2704"</f>
        <v>61.2704</v>
      </c>
      <c r="C2838" t="s">
        <v>2537</v>
      </c>
    </row>
    <row r="2839" spans="1:3" x14ac:dyDescent="0.25">
      <c r="A2839" t="str">
        <f t="shared" si="87"/>
        <v>61</v>
      </c>
      <c r="B2839" t="str">
        <f>"61.2705"</f>
        <v>61.2705</v>
      </c>
      <c r="C2839" t="s">
        <v>2538</v>
      </c>
    </row>
    <row r="2840" spans="1:3" x14ac:dyDescent="0.25">
      <c r="A2840" t="str">
        <f t="shared" si="87"/>
        <v>61</v>
      </c>
      <c r="B2840" t="str">
        <f>"61.2706"</f>
        <v>61.2706</v>
      </c>
      <c r="C2840" t="s">
        <v>2539</v>
      </c>
    </row>
    <row r="2841" spans="1:3" x14ac:dyDescent="0.25">
      <c r="A2841" t="str">
        <f t="shared" si="87"/>
        <v>61</v>
      </c>
      <c r="B2841" t="str">
        <f>"61.2707"</f>
        <v>61.2707</v>
      </c>
      <c r="C2841" t="s">
        <v>2540</v>
      </c>
    </row>
    <row r="2842" spans="1:3" x14ac:dyDescent="0.25">
      <c r="A2842" t="str">
        <f t="shared" si="87"/>
        <v>61</v>
      </c>
      <c r="B2842" t="str">
        <f>"61.2708"</f>
        <v>61.2708</v>
      </c>
      <c r="C2842" t="s">
        <v>2541</v>
      </c>
    </row>
    <row r="2843" spans="1:3" x14ac:dyDescent="0.25">
      <c r="A2843" t="str">
        <f t="shared" si="87"/>
        <v>61</v>
      </c>
      <c r="B2843" t="str">
        <f>"61.2799"</f>
        <v>61.2799</v>
      </c>
      <c r="C2843" t="s">
        <v>2542</v>
      </c>
    </row>
    <row r="2844" spans="1:3" x14ac:dyDescent="0.25">
      <c r="A2844" t="str">
        <f t="shared" si="87"/>
        <v>61</v>
      </c>
      <c r="B2844" t="str">
        <f>"61.28"</f>
        <v>61.28</v>
      </c>
      <c r="C2844" t="s">
        <v>2543</v>
      </c>
    </row>
    <row r="2845" spans="1:3" x14ac:dyDescent="0.25">
      <c r="A2845" t="str">
        <f t="shared" si="87"/>
        <v>61</v>
      </c>
      <c r="B2845" t="str">
        <f>"61.2801"</f>
        <v>61.2801</v>
      </c>
      <c r="C2845" t="s">
        <v>2156</v>
      </c>
    </row>
    <row r="2846" spans="1:3" x14ac:dyDescent="0.25">
      <c r="A2846" t="str">
        <f t="shared" si="87"/>
        <v>61</v>
      </c>
      <c r="B2846" t="str">
        <f>"61.2802"</f>
        <v>61.2802</v>
      </c>
      <c r="C2846" t="s">
        <v>2544</v>
      </c>
    </row>
    <row r="2847" spans="1:3" x14ac:dyDescent="0.25">
      <c r="A2847" t="str">
        <f t="shared" si="87"/>
        <v>61</v>
      </c>
      <c r="B2847" t="str">
        <f>"61.2899"</f>
        <v>61.2899</v>
      </c>
      <c r="C2847" t="s">
        <v>2545</v>
      </c>
    </row>
    <row r="2848" spans="1:3" x14ac:dyDescent="0.25">
      <c r="A2848" t="str">
        <f t="shared" si="87"/>
        <v>61</v>
      </c>
      <c r="B2848" t="str">
        <f>"61.99"</f>
        <v>61.99</v>
      </c>
      <c r="C2848" t="s">
        <v>2546</v>
      </c>
    </row>
    <row r="2849" spans="1:3" x14ac:dyDescent="0.25">
      <c r="A2849" t="str">
        <f t="shared" si="87"/>
        <v>61</v>
      </c>
      <c r="B2849" t="str">
        <f>"61.9999"</f>
        <v>61.9999</v>
      </c>
      <c r="C2849" t="s">
        <v>2546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CIPCode2020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ekoc</dc:creator>
  <cp:lastModifiedBy>alongenberger</cp:lastModifiedBy>
  <dcterms:created xsi:type="dcterms:W3CDTF">2021-08-25T15:00:19Z</dcterms:created>
  <dcterms:modified xsi:type="dcterms:W3CDTF">2021-08-25T15:59:15Z</dcterms:modified>
</cp:coreProperties>
</file>